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codeName="Denne_projektmappe" defaultThemeVersion="124226"/>
  <mc:AlternateContent xmlns:mc="http://schemas.openxmlformats.org/markup-compatibility/2006">
    <mc:Choice Requires="x15">
      <x15ac:absPath xmlns:x15ac="http://schemas.microsoft.com/office/spreadsheetml/2010/11/ac" url="E:\VAND\Sagsbehandling\Spildevand\ARWOS SPILDEVAND AS (S004)\ØR2024\"/>
    </mc:Choice>
  </mc:AlternateContent>
  <xr:revisionPtr revIDLastSave="0" documentId="13_ncr:1_{8F3F995C-FE93-4A00-A778-4504CBB1D9DC}"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2024'!$B$8:$D$37</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s>
  <calcPr calcId="191029" iterateDelta="1E-4"/>
</workbook>
</file>

<file path=xl/calcChain.xml><?xml version="1.0" encoding="utf-8"?>
<calcChain xmlns="http://schemas.openxmlformats.org/spreadsheetml/2006/main">
  <c r="C20" i="19" l="1"/>
  <c r="C16" i="19" l="1"/>
  <c r="E16" i="44" l="1"/>
  <c r="E17" i="44"/>
  <c r="E25" i="44" l="1"/>
  <c r="E18" i="44"/>
  <c r="C9" i="2"/>
  <c r="E29" i="44" l="1"/>
  <c r="E31" i="44" s="1"/>
  <c r="E30" i="20"/>
  <c r="E29" i="20"/>
  <c r="E31" i="20" s="1"/>
  <c r="E24" i="20"/>
  <c r="E23" i="20"/>
  <c r="E25" i="20" s="1"/>
  <c r="C20" i="15" l="1"/>
  <c r="C32" i="2"/>
  <c r="G18" i="41"/>
  <c r="E17" i="20" l="1"/>
  <c r="E11" i="20"/>
  <c r="C22" i="23" l="1"/>
  <c r="C22" i="22"/>
  <c r="C22" i="15"/>
  <c r="C36" i="2"/>
  <c r="C13" i="29" l="1"/>
  <c r="C14" i="29" s="1"/>
  <c r="E13" i="29"/>
  <c r="E14" i="29" s="1"/>
  <c r="E20" i="39"/>
  <c r="E21" i="39" s="1"/>
  <c r="C20" i="39"/>
  <c r="C21" i="39" s="1"/>
  <c r="J11" i="11"/>
  <c r="H11" i="11"/>
  <c r="C21" i="19"/>
  <c r="C16" i="23" l="1"/>
  <c r="C16" i="15"/>
  <c r="C16" i="22"/>
  <c r="F11" i="1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36" i="37" s="1"/>
  <c r="C37" i="37" s="1"/>
  <c r="C10" i="2" l="1"/>
  <c r="G35" i="36"/>
  <c r="G53" i="30" l="1"/>
  <c r="G37" i="36"/>
  <c r="G41" i="36" l="1"/>
  <c r="G27" i="30"/>
  <c r="G43" i="36" l="1"/>
  <c r="G31" i="30"/>
  <c r="E10" i="37"/>
  <c r="E36" i="37" s="1"/>
  <c r="E37" i="37" s="1"/>
  <c r="G53" i="36" l="1"/>
  <c r="G33" i="30"/>
  <c r="G37" i="30" s="1"/>
  <c r="G39" i="30" l="1"/>
  <c r="G43" i="30" s="1"/>
  <c r="C11" i="2"/>
  <c r="G45" i="30" l="1"/>
  <c r="G54" i="36"/>
  <c r="C19" i="2" s="1"/>
  <c r="G52" i="30" l="1"/>
  <c r="G54" i="30" s="1"/>
  <c r="G58" i="30" s="1"/>
  <c r="G59" i="36"/>
  <c r="C13" i="15" s="1"/>
  <c r="C16" i="2"/>
  <c r="C17" i="2" s="1"/>
  <c r="C18" i="2" l="1"/>
  <c r="C20" i="2" s="1"/>
  <c r="G64" i="36"/>
  <c r="C13" i="22" s="1"/>
  <c r="G69" i="36" l="1"/>
  <c r="C13" i="23" s="1"/>
  <c r="G59" i="30"/>
  <c r="G63" i="30" s="1"/>
  <c r="G64" i="30" l="1"/>
  <c r="G68" i="30" s="1"/>
  <c r="C12" i="15"/>
  <c r="C37" i="2"/>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<sst xmlns="http://schemas.openxmlformats.org/spreadsheetml/2006/main" count="737" uniqueCount="322">
  <si>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</si>
  <si>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</si>
  <si>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</si>
  <si>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</si>
  <si>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</si>
  <si>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</si>
  <si>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</si>
  <si>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</si>
  <si>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</si>
  <si>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</si>
  <si>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</si>
  <si>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</si>
  <si>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</si>
  <si>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</si>
  <si>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</si>
  <si>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</si>
  <si>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</si>
  <si>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</si>
  <si>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</si>
  <si>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</si>
  <si>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</si>
  <si>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</si>
  <si>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</si>
  <si>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</si>
  <si>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</si>
  <si>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</si>
  <si>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</si>
  <si>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</si>
  <si>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</si>
  <si>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</si>
  <si>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</si>
  <si>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</si>
  <si>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</si>
  <si>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</si>
  <si>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</si>
  <si>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</si>
  <si>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</si>
  <si>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</si>
  <si>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</si>
  <si>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</si>
  <si>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</si>
  <si>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</si>
  <si>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</si>
  <si>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</si>
  <si>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</si>
  <si>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</si>
  <si>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</si>
  <si>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</si>
  <si>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</si>
  <si>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</si>
  <si>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</si>
  <si>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</si>
  <si>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</si>
  <si>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</si>
  <si>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</si>
  <si>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</si>
  <si>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</si>
  <si>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</si>
  <si>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</si>
  <si>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</si>
  <si>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</si>
  <si>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</si>
  <si>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</si>
  <si>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</si>
  <si>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</si>
  <si>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</si>
  <si>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</si>
  <si>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</si>
  <si>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</si>
  <si>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</si>
  <si>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</si>
  <si>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</si>
  <si>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</si>
  <si>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</si>
  <si>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</si>
  <si>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</si>
  <si>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</si>
  <si>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</si>
  <si>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</si>
  <si>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</si>
  <si>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</si>
  <si>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</si>
  <si>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</si>
  <si>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</si>
  <si>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</si>
  <si>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</si>
  <si>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</si>
  <si>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</si>
  <si>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</si>
  <si>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</si>
  <si>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</si>
  <si>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</si>
  <si>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</si>
  <si>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</si>
  <si>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</si>
  <si>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</si>
  <si>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</si>
  <si>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</si>
  <si>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</si>
  <si>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</si>
  <si>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</si>
  <si>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</si>
  <si>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</si>
  <si>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</si>
  <si>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</si>
  <si>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</si>
  <si>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</si>
  <si>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</si>
  <si>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</si>
  <si>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</si>
  <si>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</si>
  <si>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</si>
  <si>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</si>
  <si>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</si>
  <si>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</si>
  <si>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</si>
  <si>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</si>
  <si>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</si>
  <si>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</si>
  <si>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</si>
  <si>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</si>
  <si>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</si>
  <si>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</si>
  <si>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</si>
  <si>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</si>
  <si>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</si>
  <si>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</si>
  <si>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</si>
  <si>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</si>
  <si>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</si>
  <si>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</si>
  <si>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</si>
  <si>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</si>
  <si>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</si>
  <si>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</si>
  <si>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</si>
  <si>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</si>
  <si>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</si>
  <si>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</si>
  <si>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</si>
  <si>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</si>
  <si>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</si>
  <si>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</si>
  <si>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</si>
  <si>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</si>
  <si>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</si>
  <si>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</si>
  <si>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</si>
  <si>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</si>
  <si>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</si>
  <si>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</si>
  <si>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</si>
  <si>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</si>
  <si>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</si>
  <si>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</si>
  <si>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</si>
  <si>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</si>
  <si>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</si>
  <si>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</si>
  <si>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</si>
  <si>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</si>
  <si>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</si>
  <si>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</si>
  <si>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</si>
  <si>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</si>
  <si>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</si>
  <si>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</si>
  <si>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</si>
  <si>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</si>
  <si>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</si>
  <si>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</si>
  <si>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</si>
  <si>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</si>
  <si>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</si>
  <si>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</si>
  <si>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</si>
  <si>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</si>
  <si>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</si>
  <si>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</si>
  <si>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</si>
  <si>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</si>
  <si>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</si>
  <si>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</si>
  <si>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</si>
  <si>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</si>
  <si>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</si>
  <si>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</si>
  <si>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</si>
  <si>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</si>
  <si>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</si>
  <si>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</si>
  <si>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</si>
  <si>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</si>
  <si>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</si>
  <si>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</si>
  <si>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</si>
  <si>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</si>
  <si>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</si>
  <si>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</si>
  <si>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</si>
  <si>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</si>
  <si>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</si>
  <si>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</si>
  <si>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</si>
  <si>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</si>
  <si>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</si>
  <si>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</si>
  <si>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</si>
  <si>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</si>
  <si>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</si>
  <si>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</si>
  <si>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</si>
  <si>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</si>
  <si>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</si>
  <si>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</si>
  <si>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</si>
  <si>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</si>
  <si>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</si>
  <si>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</si>
  <si>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</si>
  <si>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</si>
  <si>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</si>
  <si>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</si>
  <si>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</si>
  <si>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</si>
  <si>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</si>
  <si>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</si>
  <si>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</si>
  <si>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</si>
  <si>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</si>
  <si>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</si>
  <si>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</si>
  <si>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</si>
  <si>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</si>
  <si>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</si>
  <si>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</si>
  <si>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</si>
  <si>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</si>
  <si>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</si>
  <si>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</si>
  <si>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</si>
  <si>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</si>
  <si>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</si>
  <si>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</si>
  <si>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</si>
  <si>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</si>
  <si>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</si>
  <si>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</si>
  <si>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</si>
  <si>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</si>
  <si>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</si>
  <si>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</si>
  <si>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</si>
  <si>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</si>
  <si>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</si>
  <si>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</si>
  <si>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</si>
  <si>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</si>
  <si>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</si>
  <si>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</si>
  <si>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</si>
  <si>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</si>
  <si>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</si>
  <si>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</si>
  <si>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</si>
  <si>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</si>
  <si>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</si>
  <si>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</si>
  <si>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</si>
  <si>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</si>
  <si>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</si>
  <si>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</si>
  <si>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</si>
  <si>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</si>
  <si>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</si>
  <si>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</si>
  <si>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</si>
  <si>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</si>
  <si>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</si>
  <si>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</si>
  <si>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</si>
  <si>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</si>
  <si>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</si>
  <si>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</si>
  <si>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2022 - Midtkobbel, Kollund - byggemodn. 4 grunde 694131-2022</t>
  </si>
  <si>
    <t>2022 - Vennersminde, Stollig, BAS132 - byggmodn. 694104-2022</t>
  </si>
  <si>
    <t>Ledningsregistrering 699931</t>
  </si>
  <si>
    <t>Mentangas - beholder, Stegholt 698594</t>
  </si>
  <si>
    <t>Samlet renseanlæg</t>
  </si>
  <si>
    <t>Samlet separatkloakering</t>
  </si>
  <si>
    <t>Svovlbrinte bekæmpelse 645015 og 699108</t>
  </si>
  <si>
    <t>2022 - Blåbærvænget 1, Tinglev - byggemodning 694152</t>
  </si>
  <si>
    <t>2022 - Damms Have - byggemodning 694119</t>
  </si>
  <si>
    <t>2022 - Fladhøjparken, etape 2 - byggemodning 694154</t>
  </si>
  <si>
    <t>2022 - Nytilslutning, Brunbjergvej 67, Løjt - P341</t>
  </si>
  <si>
    <t xml:space="preserve">2022 - Nytilslutning, Egvadvej 5A, Rødekro - P4429 </t>
  </si>
  <si>
    <t>2022 - Nytilslutning, Fladholm 36, Aabenraa</t>
  </si>
  <si>
    <t>2022 - Nytilslutning, Forstalle 113A, B og C</t>
  </si>
  <si>
    <t>2022 - Nytilslutning, Kliplev Industripark 2 og 4</t>
  </si>
  <si>
    <t>2022 - Nytilslutning, Lundsbjerg Industrivej</t>
  </si>
  <si>
    <t>2022 - Nytilslutning, Oslovej 3, Rødekro</t>
  </si>
  <si>
    <t>2022 - Nytilslutning, Øster Løgumvej 13B, Genner</t>
  </si>
  <si>
    <t>2022 - Skandinavienvej, etape 1 - byggemodning 694115-2022</t>
  </si>
  <si>
    <t>2022 - Skandinavienvej, Padborg, etape 2, grundkøb 694134</t>
  </si>
  <si>
    <t>2022 - Skovgårdsvej, regnvandsbassin - stiktilslut 690125-2022</t>
  </si>
  <si>
    <t>2022 - Slyngstenvej 1, Tumbøl - minirenseanlæg</t>
  </si>
  <si>
    <t>Berigtigelse af kloakopland 645001+645020</t>
  </si>
  <si>
    <t>Bylderup-Bov og Rens uvedkommende vand 645011 og 645013</t>
  </si>
  <si>
    <t>Driftsprojekt - flowmålinger i Bylderup Bov (påbud fra kommunen) 645022</t>
  </si>
  <si>
    <t>Gennemgang af overløbsbygværker 645016</t>
  </si>
  <si>
    <t>Pfas i spildevand 645023 og 645025</t>
  </si>
  <si>
    <t>Stategisk arbejde 699944</t>
  </si>
  <si>
    <t>Samlet pumpestationer</t>
  </si>
  <si>
    <t>Oprensning af bassiner</t>
  </si>
  <si>
    <t>Spildevandsafgift</t>
  </si>
  <si>
    <t>Afgift til Forsyningssekretariatet</t>
  </si>
  <si>
    <t>Køb af ydelser og produkter fra andre vandselskaber</t>
  </si>
  <si>
    <t>Ejendomsskatter</t>
  </si>
  <si>
    <t>Erstatninger</t>
  </si>
  <si>
    <t>Øvrige IPO</t>
  </si>
  <si>
    <t>Tinglysningsafgift</t>
  </si>
  <si>
    <t>Betaling til projekters medfinansiering ØR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</si>
</sst>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3">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1" fontId="8" fillId="0"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2" t="s">
        <v>4</v>
      </c>
      <c r="E6" s="92"/>
      <c r="F6" s="92"/>
      <c r="G6" s="92"/>
      <c r="H6" s="3"/>
      <c r="I6" s="1"/>
    </row>
    <row r="7" spans="1:9" ht="15" customHeight="1" x14ac:dyDescent="0.25">
      <c r="A7" s="1"/>
      <c r="B7" s="1"/>
      <c r="C7" s="3"/>
      <c r="D7" s="92"/>
      <c r="E7" s="92"/>
      <c r="F7" s="92"/>
      <c r="G7" s="92"/>
      <c r="H7" s="3"/>
      <c r="I7" s="1"/>
    </row>
    <row r="8" spans="1:9" ht="15.75" x14ac:dyDescent="0.25">
      <c r="A8" s="1"/>
      <c r="B8" s="1"/>
      <c r="C8" s="4"/>
      <c r="D8" s="100" t="s">
        <v>252</v>
      </c>
      <c r="E8" s="100"/>
      <c r="F8" s="100"/>
      <c r="G8" s="100"/>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9" t="s">
        <v>5</v>
      </c>
      <c r="E11" s="99"/>
      <c r="F11" s="99"/>
      <c r="G11" s="99"/>
      <c r="H11" s="5"/>
      <c r="I11" s="1"/>
    </row>
    <row r="12" spans="1:9" x14ac:dyDescent="0.25">
      <c r="A12" s="1"/>
      <c r="B12" s="1"/>
      <c r="C12" s="1"/>
      <c r="D12" s="1"/>
      <c r="E12" s="1"/>
      <c r="F12" s="1"/>
      <c r="G12" s="1"/>
      <c r="H12" s="5"/>
      <c r="I12" s="1"/>
    </row>
    <row r="13" spans="1:9" x14ac:dyDescent="0.25">
      <c r="A13" s="1"/>
      <c r="B13" s="1"/>
      <c r="C13" s="6" t="s">
        <v>6</v>
      </c>
      <c r="D13" s="104" t="s">
        <v>196</v>
      </c>
      <c r="E13" s="105"/>
      <c r="F13" s="105"/>
      <c r="G13" s="106"/>
      <c r="H13" s="5"/>
      <c r="I13" s="1"/>
    </row>
    <row r="14" spans="1:9" x14ac:dyDescent="0.25">
      <c r="A14" s="1"/>
      <c r="B14" s="1"/>
      <c r="C14" s="6" t="s">
        <v>16</v>
      </c>
      <c r="D14" s="89" t="s">
        <v>197</v>
      </c>
      <c r="E14" s="90"/>
      <c r="F14" s="90"/>
      <c r="G14" s="91"/>
      <c r="H14" s="5"/>
      <c r="I14" s="1"/>
    </row>
    <row r="15" spans="1:9" x14ac:dyDescent="0.25">
      <c r="A15" s="1"/>
      <c r="B15" s="1"/>
      <c r="C15" s="6" t="s">
        <v>31</v>
      </c>
      <c r="D15" s="89" t="s">
        <v>262</v>
      </c>
      <c r="E15" s="90"/>
      <c r="F15" s="90"/>
      <c r="G15" s="91"/>
      <c r="H15" s="5"/>
      <c r="I15" s="1"/>
    </row>
    <row r="16" spans="1:9" x14ac:dyDescent="0.25">
      <c r="A16" s="1"/>
      <c r="B16" s="1"/>
      <c r="C16" s="6" t="s">
        <v>32</v>
      </c>
      <c r="D16" s="89" t="s">
        <v>263</v>
      </c>
      <c r="E16" s="90"/>
      <c r="F16" s="90"/>
      <c r="G16" s="91"/>
      <c r="H16" s="5"/>
      <c r="I16" s="1"/>
    </row>
    <row r="17" spans="1:9" x14ac:dyDescent="0.25">
      <c r="A17" s="1"/>
      <c r="B17" s="1"/>
      <c r="C17" s="6" t="s">
        <v>101</v>
      </c>
      <c r="D17" s="89" t="s">
        <v>198</v>
      </c>
      <c r="E17" s="90"/>
      <c r="F17" s="90"/>
      <c r="G17" s="91"/>
      <c r="H17" s="5"/>
      <c r="I17" s="1"/>
    </row>
    <row r="18" spans="1:9" x14ac:dyDescent="0.25">
      <c r="A18" s="1"/>
      <c r="B18" s="1"/>
      <c r="C18" s="6" t="s">
        <v>88</v>
      </c>
      <c r="D18" s="101" t="s">
        <v>79</v>
      </c>
      <c r="E18" s="102"/>
      <c r="F18" s="102"/>
      <c r="G18" s="103"/>
      <c r="H18" s="5"/>
      <c r="I18" s="1"/>
    </row>
    <row r="19" spans="1:9" x14ac:dyDescent="0.25">
      <c r="A19" s="1"/>
      <c r="B19" s="1"/>
      <c r="C19" s="6" t="s">
        <v>89</v>
      </c>
      <c r="D19" s="101" t="s">
        <v>80</v>
      </c>
      <c r="E19" s="102"/>
      <c r="F19" s="102"/>
      <c r="G19" s="103"/>
      <c r="H19" s="5"/>
      <c r="I19" s="1"/>
    </row>
    <row r="20" spans="1:9" x14ac:dyDescent="0.25">
      <c r="A20" s="1"/>
      <c r="B20" s="1"/>
      <c r="C20" s="6" t="s">
        <v>7</v>
      </c>
      <c r="D20" s="101" t="s">
        <v>10</v>
      </c>
      <c r="E20" s="102"/>
      <c r="F20" s="102"/>
      <c r="G20" s="103"/>
      <c r="H20" s="5"/>
      <c r="I20" s="1"/>
    </row>
    <row r="21" spans="1:9" x14ac:dyDescent="0.25">
      <c r="A21" s="1"/>
      <c r="B21" s="1"/>
      <c r="C21" s="6" t="s">
        <v>90</v>
      </c>
      <c r="D21" s="93" t="s">
        <v>12</v>
      </c>
      <c r="E21" s="94"/>
      <c r="F21" s="94"/>
      <c r="G21" s="95"/>
      <c r="H21" s="5"/>
      <c r="I21" s="1"/>
    </row>
    <row r="22" spans="1:9" x14ac:dyDescent="0.25">
      <c r="A22" s="1"/>
      <c r="B22" s="1"/>
      <c r="C22" s="6" t="s">
        <v>71</v>
      </c>
      <c r="D22" s="96" t="s">
        <v>199</v>
      </c>
      <c r="E22" s="97"/>
      <c r="F22" s="97"/>
      <c r="G22" s="98"/>
      <c r="H22" s="5"/>
      <c r="I22" s="1"/>
    </row>
    <row r="23" spans="1:9" x14ac:dyDescent="0.25">
      <c r="A23" s="1"/>
      <c r="B23" s="1"/>
      <c r="C23" s="6" t="s">
        <v>8</v>
      </c>
      <c r="D23" s="96" t="s">
        <v>181</v>
      </c>
      <c r="E23" s="97"/>
      <c r="F23" s="97"/>
      <c r="G23" s="98"/>
      <c r="H23" s="5"/>
      <c r="I23" s="1"/>
    </row>
    <row r="24" spans="1:9" x14ac:dyDescent="0.25">
      <c r="A24" s="1"/>
      <c r="B24" s="1"/>
      <c r="C24" s="6" t="s">
        <v>9</v>
      </c>
      <c r="D24" s="96" t="s">
        <v>200</v>
      </c>
      <c r="E24" s="97"/>
      <c r="F24" s="97"/>
      <c r="G24" s="98"/>
      <c r="H24" s="5"/>
      <c r="I24" s="1"/>
    </row>
    <row r="25" spans="1:9" x14ac:dyDescent="0.25">
      <c r="A25" s="1"/>
      <c r="B25" s="1"/>
      <c r="C25" s="6" t="s">
        <v>166</v>
      </c>
      <c r="D25" s="96" t="s">
        <v>160</v>
      </c>
      <c r="E25" s="97"/>
      <c r="F25" s="97"/>
      <c r="G25" s="98"/>
      <c r="H25" s="1"/>
      <c r="I25" s="1"/>
    </row>
    <row r="26" spans="1:9" x14ac:dyDescent="0.25">
      <c r="A26" s="1"/>
      <c r="B26" s="1"/>
      <c r="C26" s="6" t="s">
        <v>167</v>
      </c>
      <c r="D26" s="96" t="s">
        <v>72</v>
      </c>
      <c r="E26" s="97"/>
      <c r="F26" s="97"/>
      <c r="G26" s="98"/>
      <c r="H26" s="1"/>
      <c r="I26" s="1"/>
    </row>
    <row r="27" spans="1:9" x14ac:dyDescent="0.25">
      <c r="A27" s="1"/>
      <c r="B27" s="1"/>
      <c r="C27" s="6" t="s">
        <v>168</v>
      </c>
      <c r="D27" s="96" t="s">
        <v>73</v>
      </c>
      <c r="E27" s="97"/>
      <c r="F27" s="97"/>
      <c r="G27" s="98"/>
      <c r="H27" s="1"/>
      <c r="I27" s="1"/>
    </row>
    <row r="28" spans="1:9" x14ac:dyDescent="0.25">
      <c r="A28" s="1"/>
      <c r="B28" s="1"/>
      <c r="C28" s="6" t="s">
        <v>15</v>
      </c>
      <c r="D28" s="96" t="s">
        <v>74</v>
      </c>
      <c r="E28" s="97"/>
      <c r="F28" s="97"/>
      <c r="G28" s="98"/>
      <c r="H28" s="1"/>
      <c r="I28" s="1"/>
    </row>
    <row r="29" spans="1:9" x14ac:dyDescent="0.25">
      <c r="A29" s="1"/>
      <c r="B29" s="1"/>
      <c r="C29" s="6" t="s">
        <v>34</v>
      </c>
      <c r="D29" s="96" t="s">
        <v>114</v>
      </c>
      <c r="E29" s="97"/>
      <c r="F29" s="97"/>
      <c r="G29" s="98"/>
      <c r="H29" s="1"/>
      <c r="I29" s="1"/>
    </row>
    <row r="30" spans="1:9" x14ac:dyDescent="0.25">
      <c r="A30" s="1"/>
      <c r="B30" s="1"/>
      <c r="C30" s="6" t="s">
        <v>35</v>
      </c>
      <c r="D30" s="96" t="s">
        <v>33</v>
      </c>
      <c r="E30" s="97"/>
      <c r="F30" s="97"/>
      <c r="G30" s="98"/>
      <c r="H30" s="1"/>
      <c r="I30" s="1"/>
    </row>
    <row r="31" spans="1:9" x14ac:dyDescent="0.25">
      <c r="A31" s="1"/>
      <c r="B31" s="1"/>
      <c r="C31" s="6" t="s">
        <v>169</v>
      </c>
      <c r="D31" s="107" t="s">
        <v>87</v>
      </c>
      <c r="E31" s="108"/>
      <c r="F31" s="108"/>
      <c r="G31" s="109"/>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i6zDZ8SUrkTLPA1j3EHPp0PgInYiDXSgkoRXl3iKlsX7pUFPdqwCjVu3jp43iaR0TAbsiMRFSAxNqfTzUj4HtQ==" saltValue="lO54z9blx15hLMT7uvJqGw=="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7"/>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93</v>
      </c>
      <c r="C3" s="110"/>
      <c r="D3" s="110"/>
      <c r="E3" s="1"/>
      <c r="F3" s="1"/>
    </row>
    <row r="4" spans="1:6" ht="15" customHeight="1" x14ac:dyDescent="0.25">
      <c r="A4" s="1"/>
      <c r="B4" s="110"/>
      <c r="C4" s="110"/>
      <c r="D4" s="11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7" t="s">
        <v>224</v>
      </c>
      <c r="C8" s="118"/>
      <c r="D8" s="119"/>
      <c r="E8" s="1"/>
      <c r="F8" s="1"/>
    </row>
    <row r="9" spans="1:6" ht="15" customHeight="1" x14ac:dyDescent="0.25">
      <c r="A9" s="1"/>
      <c r="B9" s="27" t="s">
        <v>29</v>
      </c>
      <c r="C9" s="50" t="s">
        <v>225</v>
      </c>
      <c r="D9" s="11"/>
      <c r="E9" s="1"/>
      <c r="F9" s="1"/>
    </row>
    <row r="10" spans="1:6" ht="15" customHeight="1" x14ac:dyDescent="0.25">
      <c r="A10" s="1"/>
      <c r="B10" s="81" t="s">
        <v>314</v>
      </c>
      <c r="C10" s="9">
        <v>2279403</v>
      </c>
      <c r="D10" s="14" t="s">
        <v>3</v>
      </c>
      <c r="E10" s="1"/>
      <c r="F10" s="1"/>
    </row>
    <row r="11" spans="1:6" ht="15" customHeight="1" x14ac:dyDescent="0.25">
      <c r="A11" s="1"/>
      <c r="B11" s="81" t="s">
        <v>315</v>
      </c>
      <c r="C11" s="9">
        <v>114179</v>
      </c>
      <c r="D11" s="14" t="s">
        <v>3</v>
      </c>
      <c r="E11" s="1"/>
      <c r="F11" s="1"/>
    </row>
    <row r="12" spans="1:6" x14ac:dyDescent="0.25">
      <c r="A12" s="1"/>
      <c r="B12" s="81" t="s">
        <v>316</v>
      </c>
      <c r="C12" s="9">
        <v>759983</v>
      </c>
      <c r="D12" s="14" t="s">
        <v>3</v>
      </c>
      <c r="E12" s="1"/>
      <c r="F12" s="1"/>
    </row>
    <row r="13" spans="1:6" x14ac:dyDescent="0.25">
      <c r="A13" s="1"/>
      <c r="B13" s="81" t="s">
        <v>317</v>
      </c>
      <c r="C13" s="9">
        <v>398545</v>
      </c>
      <c r="D13" s="14" t="s">
        <v>3</v>
      </c>
      <c r="E13" s="1"/>
      <c r="F13" s="1"/>
    </row>
    <row r="14" spans="1:6" x14ac:dyDescent="0.25">
      <c r="A14" s="1"/>
      <c r="B14" s="81" t="s">
        <v>318</v>
      </c>
      <c r="C14" s="9">
        <v>325263</v>
      </c>
      <c r="D14" s="14" t="s">
        <v>3</v>
      </c>
      <c r="E14" s="1"/>
      <c r="F14" s="1"/>
    </row>
    <row r="15" spans="1:6" x14ac:dyDescent="0.25">
      <c r="A15" s="1"/>
      <c r="B15" s="81" t="s">
        <v>319</v>
      </c>
      <c r="C15" s="9">
        <v>1397180</v>
      </c>
      <c r="D15" s="14" t="s">
        <v>3</v>
      </c>
      <c r="E15" s="1"/>
      <c r="F15" s="1"/>
    </row>
    <row r="16" spans="1:6" x14ac:dyDescent="0.25">
      <c r="A16" s="1"/>
      <c r="B16" s="81" t="s">
        <v>320</v>
      </c>
      <c r="C16" s="9">
        <f>1750+1750</f>
        <v>3500</v>
      </c>
      <c r="D16" s="14" t="s">
        <v>3</v>
      </c>
      <c r="E16" s="1"/>
      <c r="F16" s="1"/>
    </row>
    <row r="17" spans="1:6" x14ac:dyDescent="0.25">
      <c r="A17" s="1"/>
      <c r="B17" s="81" t="s">
        <v>321</v>
      </c>
      <c r="C17" s="9">
        <v>6400000</v>
      </c>
      <c r="D17" s="14" t="s">
        <v>3</v>
      </c>
      <c r="E17" s="1"/>
      <c r="F17" s="1"/>
    </row>
    <row r="18" spans="1:6" x14ac:dyDescent="0.25">
      <c r="A18" s="1"/>
      <c r="B18" s="81"/>
      <c r="C18" s="9"/>
      <c r="D18" s="14" t="s">
        <v>3</v>
      </c>
      <c r="E18" s="1"/>
      <c r="F18" s="1"/>
    </row>
    <row r="19" spans="1:6" x14ac:dyDescent="0.25">
      <c r="A19" s="1"/>
      <c r="B19" s="81"/>
      <c r="C19" s="9"/>
      <c r="D19" s="14" t="s">
        <v>3</v>
      </c>
      <c r="E19" s="1"/>
      <c r="F19" s="1"/>
    </row>
    <row r="20" spans="1:6" x14ac:dyDescent="0.25">
      <c r="A20" s="1"/>
      <c r="B20" s="33" t="s">
        <v>226</v>
      </c>
      <c r="C20" s="12">
        <f>SUM(C10:C19)</f>
        <v>11678053</v>
      </c>
      <c r="D20" s="13" t="s">
        <v>3</v>
      </c>
      <c r="E20" s="1"/>
      <c r="F20" s="1"/>
    </row>
    <row r="21" spans="1:6" x14ac:dyDescent="0.25">
      <c r="A21" s="1"/>
      <c r="B21" s="33" t="s">
        <v>227</v>
      </c>
      <c r="C21" s="12">
        <f>C20*(1+'Fane 15. Nøgletal'!C16)^2</f>
        <v>13641468.16873792</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7" t="s">
        <v>99</v>
      </c>
      <c r="C24" s="118"/>
      <c r="D24" s="119"/>
      <c r="E24" s="1"/>
      <c r="F24" s="1"/>
    </row>
    <row r="25" spans="1:6" x14ac:dyDescent="0.25">
      <c r="A25" s="1"/>
      <c r="B25" s="81" t="s">
        <v>109</v>
      </c>
      <c r="C25" s="9">
        <v>0</v>
      </c>
      <c r="D25" s="14" t="s">
        <v>3</v>
      </c>
      <c r="E25" s="1"/>
      <c r="F25" s="1"/>
    </row>
    <row r="26" spans="1:6" x14ac:dyDescent="0.25">
      <c r="A26" s="1"/>
      <c r="B26" s="81" t="s">
        <v>123</v>
      </c>
      <c r="C26" s="9">
        <v>0</v>
      </c>
      <c r="D26" s="14" t="s">
        <v>3</v>
      </c>
      <c r="E26" s="1"/>
      <c r="F26" s="1"/>
    </row>
    <row r="27" spans="1:6" x14ac:dyDescent="0.25">
      <c r="A27" s="1"/>
      <c r="B27" s="81" t="s">
        <v>142</v>
      </c>
      <c r="C27" s="9">
        <v>0</v>
      </c>
      <c r="D27" s="14" t="s">
        <v>3</v>
      </c>
      <c r="E27" s="1"/>
      <c r="F27" s="1"/>
    </row>
    <row r="28" spans="1:6" x14ac:dyDescent="0.25">
      <c r="A28" s="1"/>
      <c r="B28" s="34" t="s">
        <v>261</v>
      </c>
      <c r="C28" s="9">
        <v>0</v>
      </c>
      <c r="D28" s="38" t="s">
        <v>3</v>
      </c>
      <c r="E28" s="1"/>
      <c r="F28" s="1"/>
    </row>
    <row r="29" spans="1:6" x14ac:dyDescent="0.25">
      <c r="A29" s="1"/>
      <c r="B29" s="117"/>
      <c r="C29" s="118"/>
      <c r="D29" s="119"/>
      <c r="E29" s="1"/>
      <c r="F29" s="1"/>
    </row>
    <row r="30" spans="1:6" x14ac:dyDescent="0.25">
      <c r="A30" s="1"/>
      <c r="B30" s="1"/>
      <c r="C30" s="1"/>
      <c r="D30" s="1"/>
      <c r="E30" s="1"/>
      <c r="F30" s="1"/>
    </row>
    <row r="31" spans="1:6" x14ac:dyDescent="0.25">
      <c r="A31" s="1"/>
      <c r="B31" s="1"/>
      <c r="C31" s="1"/>
      <c r="D31" s="1"/>
      <c r="E31" s="1"/>
      <c r="F31" s="1"/>
    </row>
    <row r="32" spans="1:6" x14ac:dyDescent="0.25">
      <c r="A32" s="1"/>
      <c r="B32" s="117" t="s">
        <v>81</v>
      </c>
      <c r="C32" s="118"/>
      <c r="D32" s="119"/>
      <c r="E32" s="1"/>
      <c r="F32" s="1"/>
    </row>
    <row r="33" spans="1:6" x14ac:dyDescent="0.25">
      <c r="A33" s="1"/>
      <c r="B33" s="81" t="s">
        <v>109</v>
      </c>
      <c r="C33" s="9">
        <v>0</v>
      </c>
      <c r="D33" s="14" t="s">
        <v>3</v>
      </c>
      <c r="E33" s="1"/>
      <c r="F33" s="1"/>
    </row>
    <row r="34" spans="1:6" x14ac:dyDescent="0.25">
      <c r="A34" s="1"/>
      <c r="B34" s="81" t="s">
        <v>123</v>
      </c>
      <c r="C34" s="9">
        <v>0</v>
      </c>
      <c r="D34" s="14" t="s">
        <v>3</v>
      </c>
      <c r="E34" s="1"/>
      <c r="F34" s="1"/>
    </row>
    <row r="35" spans="1:6" x14ac:dyDescent="0.25">
      <c r="A35" s="1"/>
      <c r="B35" s="81" t="s">
        <v>142</v>
      </c>
      <c r="C35" s="9">
        <v>0</v>
      </c>
      <c r="D35" s="14" t="s">
        <v>3</v>
      </c>
      <c r="E35" s="1"/>
      <c r="F35" s="1"/>
    </row>
    <row r="36" spans="1:6" x14ac:dyDescent="0.25">
      <c r="A36" s="1"/>
      <c r="B36" s="34" t="s">
        <v>261</v>
      </c>
      <c r="C36" s="9">
        <v>0</v>
      </c>
      <c r="D36" s="38" t="s">
        <v>3</v>
      </c>
      <c r="E36" s="1"/>
      <c r="F36" s="1"/>
    </row>
    <row r="37" spans="1:6" x14ac:dyDescent="0.25">
      <c r="A37" s="1"/>
      <c r="B37" s="117"/>
      <c r="C37" s="118"/>
      <c r="D37" s="119"/>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row r="57" spans="1:6" x14ac:dyDescent="0.25">
      <c r="A57" s="48"/>
      <c r="B57" s="48"/>
      <c r="C57" s="48"/>
      <c r="D57" s="48"/>
      <c r="E57" s="48"/>
      <c r="F57" s="48"/>
    </row>
  </sheetData>
  <sheetProtection algorithmName="SHA-512" hashValue="gVOVgvBBHbMeGbskRptnUtKdv2qR91t0lHU8Z6wEWJFVT1u1mHAxQMsECNcRduZ+VY4g5jYTArLe0SltGs3uNg==" saltValue="OSbed4VnatoYskZ+otnF7w=="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B740B-45C7-4209-81EB-176E2B1523D9}">
  <dimension ref="A1:G51"/>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2" t="s">
        <v>206</v>
      </c>
      <c r="C3" s="112"/>
      <c r="D3" s="112"/>
      <c r="E3" s="112"/>
      <c r="F3" s="112"/>
      <c r="G3" s="1"/>
    </row>
    <row r="4" spans="1:7" ht="15" customHeight="1" x14ac:dyDescent="0.25">
      <c r="A4" s="1"/>
      <c r="B4" s="112"/>
      <c r="C4" s="112"/>
      <c r="D4" s="112"/>
      <c r="E4" s="112"/>
      <c r="F4" s="112"/>
      <c r="G4" s="1"/>
    </row>
    <row r="5" spans="1:7" ht="15" customHeight="1" x14ac:dyDescent="0.25">
      <c r="A5" s="1"/>
      <c r="B5" s="74"/>
      <c r="C5" s="74"/>
      <c r="D5" s="74"/>
      <c r="E5" s="74"/>
      <c r="F5" s="74"/>
      <c r="G5" s="1"/>
    </row>
    <row r="6" spans="1:7" ht="15" customHeight="1" x14ac:dyDescent="0.25">
      <c r="A6" s="1"/>
      <c r="B6" s="74"/>
      <c r="C6" s="74"/>
      <c r="D6" s="74"/>
      <c r="E6" s="74"/>
      <c r="F6" s="74"/>
      <c r="G6" s="1"/>
    </row>
    <row r="7" spans="1:7" ht="15" customHeight="1" x14ac:dyDescent="0.25">
      <c r="A7" s="1"/>
      <c r="B7" s="1"/>
      <c r="C7" s="1"/>
      <c r="D7" s="1"/>
      <c r="E7" s="1"/>
      <c r="F7" s="1"/>
      <c r="G7" s="1"/>
    </row>
    <row r="8" spans="1:7" ht="15" customHeight="1" x14ac:dyDescent="0.25">
      <c r="A8" s="1"/>
      <c r="B8" s="117" t="s">
        <v>137</v>
      </c>
      <c r="C8" s="118"/>
      <c r="D8" s="118"/>
      <c r="E8" s="118"/>
      <c r="F8" s="119"/>
      <c r="G8" s="1"/>
    </row>
    <row r="9" spans="1:7" ht="15" customHeight="1" x14ac:dyDescent="0.25">
      <c r="A9" s="1"/>
      <c r="B9" s="120" t="s">
        <v>272</v>
      </c>
      <c r="C9" s="121"/>
      <c r="D9" s="122"/>
      <c r="E9" s="9">
        <v>4032371</v>
      </c>
      <c r="F9" s="14" t="s">
        <v>3</v>
      </c>
      <c r="G9" s="1"/>
    </row>
    <row r="10" spans="1:7" ht="15" customHeight="1" x14ac:dyDescent="0.25">
      <c r="A10" s="1"/>
      <c r="B10" s="120" t="s">
        <v>143</v>
      </c>
      <c r="C10" s="121"/>
      <c r="D10" s="122"/>
      <c r="E10" s="9">
        <v>-861095</v>
      </c>
      <c r="F10" s="14" t="s">
        <v>3</v>
      </c>
      <c r="G10" s="1"/>
    </row>
    <row r="11" spans="1:7" ht="15" customHeight="1" x14ac:dyDescent="0.25">
      <c r="A11" s="1"/>
      <c r="B11" s="120" t="s">
        <v>273</v>
      </c>
      <c r="C11" s="121"/>
      <c r="D11" s="122"/>
      <c r="E11" s="9">
        <v>21183032</v>
      </c>
      <c r="F11" s="14" t="s">
        <v>3</v>
      </c>
      <c r="G11" s="1"/>
    </row>
    <row r="12" spans="1:7" x14ac:dyDescent="0.25">
      <c r="A12" s="1"/>
      <c r="B12" s="33"/>
      <c r="C12" s="28"/>
      <c r="D12" s="28"/>
      <c r="E12" s="28"/>
      <c r="F12" s="19"/>
      <c r="G12" s="1"/>
    </row>
    <row r="13" spans="1:7" ht="42" customHeight="1" x14ac:dyDescent="0.25">
      <c r="A13" s="1"/>
      <c r="B13" s="114" t="s">
        <v>274</v>
      </c>
      <c r="C13" s="115"/>
      <c r="D13" s="115"/>
      <c r="E13" s="115"/>
      <c r="F13" s="116"/>
      <c r="G13" s="1"/>
    </row>
    <row r="14" spans="1:7" ht="15" customHeight="1" x14ac:dyDescent="0.25">
      <c r="A14" s="1"/>
      <c r="B14" s="1"/>
      <c r="C14" s="1"/>
      <c r="D14" s="1"/>
      <c r="E14" s="1"/>
      <c r="F14" s="1"/>
      <c r="G14" s="1"/>
    </row>
    <row r="15" spans="1:7" x14ac:dyDescent="0.25">
      <c r="A15" s="1"/>
      <c r="B15" s="75" t="s">
        <v>275</v>
      </c>
      <c r="C15" s="76"/>
      <c r="D15" s="76"/>
      <c r="E15" s="76"/>
      <c r="F15" s="77"/>
      <c r="G15" s="1"/>
    </row>
    <row r="16" spans="1:7" x14ac:dyDescent="0.25">
      <c r="A16" s="1"/>
      <c r="B16" s="78" t="s">
        <v>276</v>
      </c>
      <c r="C16" s="79"/>
      <c r="D16" s="80"/>
      <c r="E16" s="9">
        <f>IF(E11&lt;0,E11,0)</f>
        <v>0</v>
      </c>
      <c r="F16" s="14" t="s">
        <v>3</v>
      </c>
      <c r="G16" s="1"/>
    </row>
    <row r="17" spans="1:7" x14ac:dyDescent="0.25">
      <c r="A17" s="1"/>
      <c r="B17" s="78" t="s">
        <v>277</v>
      </c>
      <c r="C17" s="79"/>
      <c r="D17" s="80"/>
      <c r="E17" s="9">
        <f>IF(SUM(E10)&gt;0,SUM(E10),0)</f>
        <v>0</v>
      </c>
      <c r="F17" s="14" t="s">
        <v>3</v>
      </c>
      <c r="G17" s="1"/>
    </row>
    <row r="18" spans="1:7" x14ac:dyDescent="0.25">
      <c r="A18" s="1"/>
      <c r="B18" s="82" t="s">
        <v>278</v>
      </c>
      <c r="C18" s="83"/>
      <c r="D18" s="84"/>
      <c r="E18" s="62">
        <f>IF(SUM(E16:E17)&gt;0,0,SUM(E16:E17))</f>
        <v>0</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5" t="s">
        <v>279</v>
      </c>
      <c r="C21" s="76"/>
      <c r="D21" s="76"/>
      <c r="E21" s="76"/>
      <c r="F21" s="77"/>
      <c r="G21" s="1"/>
    </row>
    <row r="22" spans="1:7" x14ac:dyDescent="0.25">
      <c r="A22" s="1"/>
      <c r="B22" s="78" t="s">
        <v>280</v>
      </c>
      <c r="C22" s="79"/>
      <c r="D22" s="80"/>
      <c r="E22" s="9">
        <v>129806523</v>
      </c>
      <c r="F22" s="14" t="s">
        <v>3</v>
      </c>
      <c r="G22" s="1"/>
    </row>
    <row r="23" spans="1:7" x14ac:dyDescent="0.25">
      <c r="A23" s="1"/>
      <c r="B23" s="78" t="s">
        <v>281</v>
      </c>
      <c r="C23" s="79"/>
      <c r="D23" s="80"/>
      <c r="E23" s="9">
        <v>126611245</v>
      </c>
      <c r="F23" s="14" t="s">
        <v>3</v>
      </c>
      <c r="G23" s="1"/>
    </row>
    <row r="24" spans="1:7" x14ac:dyDescent="0.25">
      <c r="A24" s="1"/>
      <c r="B24" s="78" t="s">
        <v>30</v>
      </c>
      <c r="C24" s="79"/>
      <c r="D24" s="80"/>
      <c r="E24" s="9">
        <v>0</v>
      </c>
      <c r="F24" s="14" t="s">
        <v>3</v>
      </c>
      <c r="G24" s="1"/>
    </row>
    <row r="25" spans="1:7" x14ac:dyDescent="0.25">
      <c r="A25" s="1"/>
      <c r="B25" s="82" t="s">
        <v>282</v>
      </c>
      <c r="C25" s="83"/>
      <c r="D25" s="84"/>
      <c r="E25" s="62">
        <f>E22-E23-E24</f>
        <v>3195278</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7" t="s">
        <v>283</v>
      </c>
      <c r="C28" s="118"/>
      <c r="D28" s="118"/>
      <c r="E28" s="118"/>
      <c r="F28" s="119"/>
      <c r="G28" s="1"/>
    </row>
    <row r="29" spans="1:7" x14ac:dyDescent="0.25">
      <c r="A29" s="1"/>
      <c r="B29" s="132" t="s">
        <v>116</v>
      </c>
      <c r="C29" s="133"/>
      <c r="D29" s="134"/>
      <c r="E29" s="9">
        <f>IF(E18&lt;0,IF(E25&lt;0,SUM(E18,E25),IF(E10&gt;0,SUM(E10:E11),E18)),IF(AND(E25&lt;0,SUM(E25,E11)&lt;0),IF(E11&lt;0,E25,IF(SUM(E10:E11)&gt;0,SUM(E25,E11),IF(AND(E25&lt;0,E18=0,E11&gt;0),IF(SUM(E9:E11)&gt;0,E25+E11,E25)))),0))</f>
        <v>0</v>
      </c>
      <c r="F29" s="14" t="s">
        <v>3</v>
      </c>
      <c r="G29" s="1"/>
    </row>
    <row r="30" spans="1:7" x14ac:dyDescent="0.25">
      <c r="A30" s="1"/>
      <c r="B30" s="132" t="s">
        <v>84</v>
      </c>
      <c r="C30" s="133"/>
      <c r="D30" s="134"/>
      <c r="E30" s="9">
        <v>2</v>
      </c>
      <c r="F30" s="14" t="s">
        <v>20</v>
      </c>
      <c r="G30" s="1"/>
    </row>
    <row r="31" spans="1:7" x14ac:dyDescent="0.25">
      <c r="A31" s="1"/>
      <c r="B31" s="135" t="s">
        <v>117</v>
      </c>
      <c r="C31" s="136"/>
      <c r="D31" s="137"/>
      <c r="E31" s="10">
        <f>E29/E30</f>
        <v>0</v>
      </c>
      <c r="F31" s="17" t="s">
        <v>3</v>
      </c>
      <c r="G31" s="1"/>
    </row>
    <row r="32" spans="1:7" x14ac:dyDescent="0.25">
      <c r="A32" s="1"/>
      <c r="B32" s="138"/>
      <c r="C32" s="139"/>
      <c r="D32" s="139"/>
      <c r="E32" s="139"/>
      <c r="F32" s="140"/>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B8ARlokhaZpFRNP7x91xwIynsQ+cUPzhaizXR5uqe5eYt0moVJPNFFl5FVdj3+wLk5OKsFppJZ6146iuSBZe1A==" saltValue="6DcNUlMXrHcGvMazW1Tywg==" spinCount="100000" sheet="1" objects="1" scenarios="1"/>
  <mergeCells count="11">
    <mergeCell ref="B13:F13"/>
    <mergeCell ref="B3:F4"/>
    <mergeCell ref="B8:F8"/>
    <mergeCell ref="B9:D9"/>
    <mergeCell ref="B10:D10"/>
    <mergeCell ref="B11:D11"/>
    <mergeCell ref="B28:F28"/>
    <mergeCell ref="B29:D29"/>
    <mergeCell ref="B30:D30"/>
    <mergeCell ref="B31:D31"/>
    <mergeCell ref="B32:F3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0" t="s">
        <v>170</v>
      </c>
      <c r="C3" s="110"/>
      <c r="D3" s="110"/>
      <c r="E3" s="110"/>
      <c r="F3" s="110"/>
      <c r="G3" s="110"/>
      <c r="H3" s="110"/>
      <c r="I3" s="1"/>
    </row>
    <row r="4" spans="1:9" ht="15" customHeight="1" x14ac:dyDescent="0.25">
      <c r="A4" s="1"/>
      <c r="B4" s="110"/>
      <c r="C4" s="110"/>
      <c r="D4" s="110"/>
      <c r="E4" s="110"/>
      <c r="F4" s="110"/>
      <c r="G4" s="110"/>
      <c r="H4" s="11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7" t="s">
        <v>189</v>
      </c>
      <c r="C8" s="118"/>
      <c r="D8" s="118"/>
      <c r="E8" s="118"/>
      <c r="F8" s="118"/>
      <c r="G8" s="118"/>
      <c r="H8" s="119"/>
      <c r="I8" s="1"/>
    </row>
    <row r="9" spans="1:9" ht="15" customHeight="1" x14ac:dyDescent="0.25">
      <c r="A9" s="1"/>
      <c r="B9" s="144" t="s">
        <v>171</v>
      </c>
      <c r="C9" s="145"/>
      <c r="D9" s="145"/>
      <c r="E9" s="145"/>
      <c r="F9" s="145"/>
      <c r="G9" s="145"/>
      <c r="H9" s="146"/>
      <c r="I9" s="1"/>
    </row>
    <row r="10" spans="1:9" x14ac:dyDescent="0.25">
      <c r="A10" s="1"/>
      <c r="B10" s="141" t="s">
        <v>172</v>
      </c>
      <c r="C10" s="142"/>
      <c r="D10" s="142"/>
      <c r="E10" s="142"/>
      <c r="F10" s="143"/>
      <c r="G10" s="9">
        <v>0</v>
      </c>
      <c r="H10" s="9" t="s">
        <v>3</v>
      </c>
      <c r="I10" s="1"/>
    </row>
    <row r="11" spans="1:9" x14ac:dyDescent="0.25">
      <c r="A11" s="1"/>
      <c r="B11" s="141" t="s">
        <v>173</v>
      </c>
      <c r="C11" s="142"/>
      <c r="D11" s="142"/>
      <c r="E11" s="142"/>
      <c r="F11" s="143"/>
      <c r="G11" s="9">
        <v>0</v>
      </c>
      <c r="H11" s="9" t="s">
        <v>3</v>
      </c>
      <c r="I11" s="1"/>
    </row>
    <row r="12" spans="1:9" x14ac:dyDescent="0.25">
      <c r="A12" s="1"/>
      <c r="B12" s="141" t="s">
        <v>174</v>
      </c>
      <c r="C12" s="142"/>
      <c r="D12" s="142"/>
      <c r="E12" s="142"/>
      <c r="F12" s="143"/>
      <c r="G12" s="9">
        <v>-6024166.6666666698</v>
      </c>
      <c r="H12" s="9" t="s">
        <v>3</v>
      </c>
      <c r="I12" s="1"/>
    </row>
    <row r="13" spans="1:9" x14ac:dyDescent="0.25">
      <c r="A13" s="1"/>
      <c r="B13" s="141" t="s">
        <v>175</v>
      </c>
      <c r="C13" s="142"/>
      <c r="D13" s="142"/>
      <c r="E13" s="142"/>
      <c r="F13" s="143"/>
      <c r="G13" s="9">
        <v>-6024166.6666666698</v>
      </c>
      <c r="H13" s="9" t="s">
        <v>3</v>
      </c>
      <c r="I13" s="1"/>
    </row>
    <row r="14" spans="1:9" x14ac:dyDescent="0.25">
      <c r="A14" s="1"/>
      <c r="B14" s="141" t="s">
        <v>176</v>
      </c>
      <c r="C14" s="142"/>
      <c r="D14" s="142"/>
      <c r="E14" s="142"/>
      <c r="F14" s="143"/>
      <c r="G14" s="9">
        <v>-6024166.6666666698</v>
      </c>
      <c r="H14" s="9" t="s">
        <v>3</v>
      </c>
      <c r="I14" s="1"/>
    </row>
    <row r="15" spans="1:9" x14ac:dyDescent="0.25">
      <c r="A15" s="1"/>
      <c r="B15" s="141" t="s">
        <v>177</v>
      </c>
      <c r="C15" s="142"/>
      <c r="D15" s="142"/>
      <c r="E15" s="142"/>
      <c r="F15" s="143"/>
      <c r="G15" s="9">
        <v>-6024166.6666666698</v>
      </c>
      <c r="H15" s="9" t="s">
        <v>3</v>
      </c>
      <c r="I15" s="1"/>
    </row>
    <row r="16" spans="1:9" x14ac:dyDescent="0.25">
      <c r="A16" s="1"/>
      <c r="B16" s="141" t="s">
        <v>178</v>
      </c>
      <c r="C16" s="142"/>
      <c r="D16" s="142"/>
      <c r="E16" s="142"/>
      <c r="F16" s="143"/>
      <c r="G16" s="9">
        <v>-6024166.6666666698</v>
      </c>
      <c r="H16" s="9" t="s">
        <v>3</v>
      </c>
      <c r="I16" s="1"/>
    </row>
    <row r="17" spans="1:9" x14ac:dyDescent="0.25">
      <c r="A17" s="1"/>
      <c r="B17" s="141" t="s">
        <v>179</v>
      </c>
      <c r="C17" s="142"/>
      <c r="D17" s="142"/>
      <c r="E17" s="142"/>
      <c r="F17" s="143"/>
      <c r="G17" s="9">
        <v>-6024166.6666666698</v>
      </c>
      <c r="H17" s="9" t="s">
        <v>3</v>
      </c>
      <c r="I17" s="1"/>
    </row>
    <row r="18" spans="1:9" x14ac:dyDescent="0.25">
      <c r="A18" s="1"/>
      <c r="B18" s="117" t="s">
        <v>180</v>
      </c>
      <c r="C18" s="118"/>
      <c r="D18" s="118"/>
      <c r="E18" s="118"/>
      <c r="F18" s="119"/>
      <c r="G18" s="12">
        <f>SUM(G10:G17)</f>
        <v>-36145000.000000022</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o0tJILoSyPRwQ7vSB8hhJ6nYl3hdhAPi866YkQmBIBFBnVRn2aFBYtUKGssFO8VK9qi5XU7HfHV4x95HRvaz+A==" saltValue="eKVDlMu/m5GBInSMirDPIw==" spinCount="100000" sheet="1" objects="1" scenarios="1"/>
  <mergeCells count="12">
    <mergeCell ref="B12:F12"/>
    <mergeCell ref="B9:H9"/>
    <mergeCell ref="B3:H4"/>
    <mergeCell ref="B8:H8"/>
    <mergeCell ref="B10:F10"/>
    <mergeCell ref="B11:F11"/>
    <mergeCell ref="B18:F18"/>
    <mergeCell ref="B13:F13"/>
    <mergeCell ref="B14:F14"/>
    <mergeCell ref="B15:F15"/>
    <mergeCell ref="B16:F16"/>
    <mergeCell ref="B17:F17"/>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2" t="s">
        <v>207</v>
      </c>
      <c r="C3" s="112"/>
      <c r="D3" s="112"/>
      <c r="E3" s="112"/>
      <c r="F3" s="112"/>
      <c r="G3" s="1"/>
    </row>
    <row r="4" spans="1:7" ht="1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7" t="s">
        <v>228</v>
      </c>
      <c r="C9" s="118"/>
      <c r="D9" s="118"/>
      <c r="E9" s="118"/>
      <c r="F9" s="119"/>
      <c r="G9" s="1"/>
    </row>
    <row r="10" spans="1:7" x14ac:dyDescent="0.25">
      <c r="A10" s="1"/>
      <c r="B10" s="114" t="s">
        <v>82</v>
      </c>
      <c r="C10" s="115"/>
      <c r="D10" s="116"/>
      <c r="E10" s="7">
        <v>0</v>
      </c>
      <c r="F10" s="8" t="s">
        <v>3</v>
      </c>
      <c r="G10" s="1"/>
    </row>
    <row r="11" spans="1:7" x14ac:dyDescent="0.25">
      <c r="A11" s="1"/>
      <c r="B11" s="120" t="s">
        <v>229</v>
      </c>
      <c r="C11" s="121"/>
      <c r="D11" s="122"/>
      <c r="E11" s="7">
        <v>0</v>
      </c>
      <c r="F11" s="8" t="s">
        <v>3</v>
      </c>
      <c r="G11" s="1"/>
    </row>
    <row r="12" spans="1:7" x14ac:dyDescent="0.25">
      <c r="A12" s="1"/>
      <c r="B12" s="135" t="s">
        <v>83</v>
      </c>
      <c r="C12" s="136"/>
      <c r="D12" s="137"/>
      <c r="E12" s="10">
        <f>E11-E10</f>
        <v>0</v>
      </c>
      <c r="F12" s="11" t="s">
        <v>3</v>
      </c>
      <c r="G12" s="1"/>
    </row>
    <row r="13" spans="1:7" x14ac:dyDescent="0.25">
      <c r="A13" s="1"/>
      <c r="B13" s="117" t="s">
        <v>78</v>
      </c>
      <c r="C13" s="118"/>
      <c r="D13" s="118"/>
      <c r="E13" s="118"/>
      <c r="F13" s="119"/>
      <c r="G13" s="1"/>
    </row>
    <row r="14" spans="1:7" x14ac:dyDescent="0.25">
      <c r="A14" s="1"/>
      <c r="B14" s="120" t="s">
        <v>230</v>
      </c>
      <c r="C14" s="121"/>
      <c r="D14" s="122"/>
      <c r="E14" s="7">
        <v>0</v>
      </c>
      <c r="F14" s="8" t="s">
        <v>3</v>
      </c>
      <c r="G14" s="1"/>
    </row>
    <row r="15" spans="1:7" x14ac:dyDescent="0.25">
      <c r="A15" s="1"/>
      <c r="B15" s="114" t="s">
        <v>231</v>
      </c>
      <c r="C15" s="115"/>
      <c r="D15" s="116"/>
      <c r="E15" s="7">
        <v>0</v>
      </c>
      <c r="F15" s="8" t="s">
        <v>3</v>
      </c>
      <c r="G15" s="1"/>
    </row>
    <row r="16" spans="1:7" x14ac:dyDescent="0.25">
      <c r="A16" s="1"/>
      <c r="B16" s="135" t="s">
        <v>83</v>
      </c>
      <c r="C16" s="136"/>
      <c r="D16" s="137"/>
      <c r="E16" s="10">
        <f>E15-E14</f>
        <v>0</v>
      </c>
      <c r="F16" s="11" t="s">
        <v>3</v>
      </c>
      <c r="G16" s="1"/>
    </row>
    <row r="17" spans="1:7" x14ac:dyDescent="0.25">
      <c r="A17" s="1"/>
      <c r="B17" s="33" t="s">
        <v>232</v>
      </c>
      <c r="C17" s="28"/>
      <c r="D17" s="28"/>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7L/vmiIdOyMUyh2/ACJ1AEnlUKJ0vx5Dvkm1qFwNlrURQajGMG2aWVkPuHtF1ljJVL3JH4GYqrxaLrQM+0k7OQ==" saltValue="JWzP4Mwpye6Nf8t0DxStLQ=="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0" t="s">
        <v>182</v>
      </c>
      <c r="C3" s="110"/>
      <c r="D3" s="110"/>
      <c r="E3" s="110"/>
      <c r="F3" s="110"/>
      <c r="G3" s="110"/>
      <c r="H3" s="110"/>
      <c r="I3" s="110"/>
      <c r="J3" s="110"/>
      <c r="K3" s="110"/>
      <c r="L3" s="1"/>
    </row>
    <row r="4" spans="1:12" ht="15" customHeight="1" x14ac:dyDescent="0.25">
      <c r="A4" s="1"/>
      <c r="B4" s="110"/>
      <c r="C4" s="110"/>
      <c r="D4" s="110"/>
      <c r="E4" s="110"/>
      <c r="F4" s="110"/>
      <c r="G4" s="110"/>
      <c r="H4" s="110"/>
      <c r="I4" s="110"/>
      <c r="J4" s="110"/>
      <c r="K4" s="11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7" t="s">
        <v>149</v>
      </c>
      <c r="C8" s="118"/>
      <c r="D8" s="118"/>
      <c r="E8" s="118"/>
      <c r="F8" s="118"/>
      <c r="G8" s="118"/>
      <c r="H8" s="118"/>
      <c r="I8" s="118"/>
      <c r="J8" s="118"/>
      <c r="K8" s="119"/>
      <c r="L8" s="1"/>
    </row>
    <row r="9" spans="1:12" ht="39.75" customHeight="1" x14ac:dyDescent="0.25">
      <c r="A9" s="1"/>
      <c r="B9" s="18" t="s">
        <v>0</v>
      </c>
      <c r="C9" s="18" t="s">
        <v>1</v>
      </c>
      <c r="D9" s="147" t="s">
        <v>165</v>
      </c>
      <c r="E9" s="148"/>
      <c r="F9" s="147" t="s">
        <v>2</v>
      </c>
      <c r="G9" s="148"/>
      <c r="H9" s="147" t="s">
        <v>164</v>
      </c>
      <c r="I9" s="148"/>
      <c r="J9" s="147" t="s">
        <v>27</v>
      </c>
      <c r="K9" s="148"/>
      <c r="L9" s="1"/>
    </row>
    <row r="10" spans="1:12" x14ac:dyDescent="0.25">
      <c r="A10" s="1"/>
      <c r="B10" s="85" t="s">
        <v>265</v>
      </c>
      <c r="C10" s="72">
        <v>0</v>
      </c>
      <c r="D10" s="72">
        <v>0</v>
      </c>
      <c r="E10" s="14" t="s">
        <v>3</v>
      </c>
      <c r="F10" s="72">
        <v>0</v>
      </c>
      <c r="G10" s="14" t="s">
        <v>3</v>
      </c>
      <c r="H10" s="72">
        <v>0</v>
      </c>
      <c r="I10" s="14" t="s">
        <v>3</v>
      </c>
      <c r="J10" s="72">
        <v>0</v>
      </c>
      <c r="K10" s="14" t="s">
        <v>3</v>
      </c>
      <c r="L10" s="1"/>
    </row>
    <row r="11" spans="1:12" x14ac:dyDescent="0.25">
      <c r="A11" s="1"/>
      <c r="B11" s="75" t="s">
        <v>150</v>
      </c>
      <c r="C11" s="76"/>
      <c r="D11" s="77"/>
      <c r="E11" s="77"/>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KPCLkHz0Jj2SUOt3LU+XdAyiqaw8XvK67jb0kXEVtbcvI2Lc03aP17Xp+UHjRmgsu3ZnccnVtdZxfIBfZ+5gAQ==" saltValue="wxsJt49yw2MVIzDiWWHlu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8"/>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183</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6" t="s">
        <v>17</v>
      </c>
      <c r="C9" s="86" t="s">
        <v>11</v>
      </c>
      <c r="D9" s="87"/>
      <c r="E9" s="86"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286</v>
      </c>
      <c r="C11" s="21">
        <v>0</v>
      </c>
      <c r="D11" s="14" t="s">
        <v>3</v>
      </c>
      <c r="E11" s="9">
        <v>260579</v>
      </c>
      <c r="F11" s="14" t="s">
        <v>3</v>
      </c>
      <c r="G11" s="1"/>
    </row>
    <row r="12" spans="1:7" x14ac:dyDescent="0.25">
      <c r="A12" s="1"/>
      <c r="B12" s="24" t="s">
        <v>287</v>
      </c>
      <c r="C12" s="21">
        <v>0</v>
      </c>
      <c r="D12" s="14" t="s">
        <v>3</v>
      </c>
      <c r="E12" s="9">
        <v>117621</v>
      </c>
      <c r="F12" s="14" t="s">
        <v>3</v>
      </c>
      <c r="G12" s="1"/>
    </row>
    <row r="13" spans="1:7" x14ac:dyDescent="0.25">
      <c r="A13" s="1"/>
      <c r="B13" s="24" t="s">
        <v>288</v>
      </c>
      <c r="C13" s="21">
        <v>0</v>
      </c>
      <c r="D13" s="14" t="s">
        <v>3</v>
      </c>
      <c r="E13" s="9">
        <v>49747</v>
      </c>
      <c r="F13" s="14" t="s">
        <v>3</v>
      </c>
      <c r="G13" s="1"/>
    </row>
    <row r="14" spans="1:7" x14ac:dyDescent="0.25">
      <c r="A14" s="1"/>
      <c r="B14" s="24" t="s">
        <v>289</v>
      </c>
      <c r="C14" s="21">
        <v>273332</v>
      </c>
      <c r="D14" s="14" t="s">
        <v>3</v>
      </c>
      <c r="E14" s="9">
        <v>2970191</v>
      </c>
      <c r="F14" s="14" t="s">
        <v>3</v>
      </c>
      <c r="G14" s="1"/>
    </row>
    <row r="15" spans="1:7" x14ac:dyDescent="0.25">
      <c r="A15" s="1"/>
      <c r="B15" s="24" t="s">
        <v>290</v>
      </c>
      <c r="C15" s="21">
        <v>641</v>
      </c>
      <c r="D15" s="14" t="s">
        <v>3</v>
      </c>
      <c r="E15" s="9">
        <v>3747</v>
      </c>
      <c r="F15" s="14" t="s">
        <v>3</v>
      </c>
      <c r="G15" s="1"/>
    </row>
    <row r="16" spans="1:7" x14ac:dyDescent="0.25">
      <c r="A16" s="1"/>
      <c r="B16" s="71" t="s">
        <v>312</v>
      </c>
      <c r="C16" s="21">
        <v>1039061</v>
      </c>
      <c r="D16" s="14" t="s">
        <v>3</v>
      </c>
      <c r="E16" s="9">
        <v>55242</v>
      </c>
      <c r="F16" s="14" t="s">
        <v>3</v>
      </c>
      <c r="G16" s="1"/>
    </row>
    <row r="17" spans="1:7" ht="26.25" x14ac:dyDescent="0.25">
      <c r="A17" s="1"/>
      <c r="B17" s="71" t="s">
        <v>284</v>
      </c>
      <c r="C17" s="21">
        <v>6336</v>
      </c>
      <c r="D17" s="14" t="s">
        <v>3</v>
      </c>
      <c r="E17" s="9">
        <v>23156</v>
      </c>
      <c r="F17" s="14" t="s">
        <v>3</v>
      </c>
      <c r="G17" s="1"/>
    </row>
    <row r="18" spans="1:7" ht="26.25" x14ac:dyDescent="0.25">
      <c r="A18" s="1"/>
      <c r="B18" s="71" t="s">
        <v>285</v>
      </c>
      <c r="C18" s="21">
        <v>31682</v>
      </c>
      <c r="D18" s="14" t="s">
        <v>3</v>
      </c>
      <c r="E18" s="9">
        <v>172020</v>
      </c>
      <c r="F18" s="14" t="s">
        <v>3</v>
      </c>
      <c r="G18" s="1"/>
    </row>
    <row r="19" spans="1:7" x14ac:dyDescent="0.25">
      <c r="A19" s="1"/>
      <c r="B19" s="24" t="s">
        <v>291</v>
      </c>
      <c r="C19" s="21">
        <v>6336</v>
      </c>
      <c r="D19" s="14" t="s">
        <v>3</v>
      </c>
      <c r="E19" s="9">
        <v>26728</v>
      </c>
      <c r="F19" s="14" t="s">
        <v>3</v>
      </c>
      <c r="G19" s="1"/>
    </row>
    <row r="20" spans="1:7" x14ac:dyDescent="0.25">
      <c r="A20" s="1"/>
      <c r="B20" s="24" t="s">
        <v>292</v>
      </c>
      <c r="C20" s="21">
        <v>19009</v>
      </c>
      <c r="D20" s="14" t="s">
        <v>3</v>
      </c>
      <c r="E20" s="9">
        <v>34711</v>
      </c>
      <c r="F20" s="14" t="s">
        <v>3</v>
      </c>
      <c r="G20" s="1"/>
    </row>
    <row r="21" spans="1:7" x14ac:dyDescent="0.25">
      <c r="A21" s="1"/>
      <c r="B21" s="24" t="s">
        <v>293</v>
      </c>
      <c r="C21" s="21">
        <v>60197</v>
      </c>
      <c r="D21" s="14" t="s">
        <v>3</v>
      </c>
      <c r="E21" s="9">
        <v>75293</v>
      </c>
      <c r="F21" s="14" t="s">
        <v>3</v>
      </c>
      <c r="G21" s="1"/>
    </row>
    <row r="22" spans="1:7" x14ac:dyDescent="0.25">
      <c r="A22" s="1"/>
      <c r="B22" s="24" t="s">
        <v>294</v>
      </c>
      <c r="C22" s="21">
        <v>1584</v>
      </c>
      <c r="D22" s="14" t="s">
        <v>3</v>
      </c>
      <c r="E22" s="9">
        <v>5872</v>
      </c>
      <c r="F22" s="14" t="s">
        <v>3</v>
      </c>
      <c r="G22" s="1"/>
    </row>
    <row r="23" spans="1:7" x14ac:dyDescent="0.25">
      <c r="A23" s="1"/>
      <c r="B23" s="24" t="s">
        <v>295</v>
      </c>
      <c r="C23" s="21">
        <v>1584</v>
      </c>
      <c r="D23" s="14" t="s">
        <v>3</v>
      </c>
      <c r="E23" s="9">
        <v>7068</v>
      </c>
      <c r="F23" s="14" t="s">
        <v>3</v>
      </c>
      <c r="G23" s="1"/>
    </row>
    <row r="24" spans="1:7" x14ac:dyDescent="0.25">
      <c r="A24" s="1"/>
      <c r="B24" s="24" t="s">
        <v>296</v>
      </c>
      <c r="C24" s="21">
        <v>1584</v>
      </c>
      <c r="D24" s="14" t="s">
        <v>3</v>
      </c>
      <c r="E24" s="9">
        <v>3440</v>
      </c>
      <c r="F24" s="14" t="s">
        <v>3</v>
      </c>
      <c r="G24" s="1"/>
    </row>
    <row r="25" spans="1:7" x14ac:dyDescent="0.25">
      <c r="A25" s="1"/>
      <c r="B25" s="24" t="s">
        <v>297</v>
      </c>
      <c r="C25" s="21">
        <v>4752</v>
      </c>
      <c r="D25" s="14" t="s">
        <v>3</v>
      </c>
      <c r="E25" s="9">
        <v>21721</v>
      </c>
      <c r="F25" s="14" t="s">
        <v>3</v>
      </c>
      <c r="G25" s="1"/>
    </row>
    <row r="26" spans="1:7" x14ac:dyDescent="0.25">
      <c r="A26" s="1"/>
      <c r="B26" s="24" t="s">
        <v>298</v>
      </c>
      <c r="C26" s="21">
        <v>3168</v>
      </c>
      <c r="D26" s="14" t="s">
        <v>3</v>
      </c>
      <c r="E26" s="9">
        <v>25626</v>
      </c>
      <c r="F26" s="14" t="s">
        <v>3</v>
      </c>
      <c r="G26" s="1"/>
    </row>
    <row r="27" spans="1:7" x14ac:dyDescent="0.25">
      <c r="A27" s="1"/>
      <c r="B27" s="24" t="s">
        <v>299</v>
      </c>
      <c r="C27" s="21">
        <v>1584</v>
      </c>
      <c r="D27" s="14" t="s">
        <v>3</v>
      </c>
      <c r="E27" s="9">
        <v>44367</v>
      </c>
      <c r="F27" s="14" t="s">
        <v>3</v>
      </c>
      <c r="G27" s="1"/>
    </row>
    <row r="28" spans="1:7" x14ac:dyDescent="0.25">
      <c r="A28" s="1"/>
      <c r="B28" s="24" t="s">
        <v>300</v>
      </c>
      <c r="C28" s="21">
        <v>1584</v>
      </c>
      <c r="D28" s="14" t="s">
        <v>3</v>
      </c>
      <c r="E28" s="9">
        <v>503</v>
      </c>
      <c r="F28" s="14" t="s">
        <v>3</v>
      </c>
      <c r="G28" s="1"/>
    </row>
    <row r="29" spans="1:7" x14ac:dyDescent="0.25">
      <c r="A29" s="1"/>
      <c r="B29" s="24" t="s">
        <v>301</v>
      </c>
      <c r="C29" s="21">
        <v>1584</v>
      </c>
      <c r="D29" s="14" t="s">
        <v>3</v>
      </c>
      <c r="E29" s="9">
        <v>874</v>
      </c>
      <c r="F29" s="14" t="s">
        <v>3</v>
      </c>
      <c r="G29" s="1"/>
    </row>
    <row r="30" spans="1:7" x14ac:dyDescent="0.25">
      <c r="A30" s="1"/>
      <c r="B30" s="24" t="s">
        <v>302</v>
      </c>
      <c r="C30" s="21">
        <v>1584</v>
      </c>
      <c r="D30" s="14" t="s">
        <v>3</v>
      </c>
      <c r="E30" s="9">
        <v>49071</v>
      </c>
      <c r="F30" s="14" t="s">
        <v>3</v>
      </c>
      <c r="G30" s="1"/>
    </row>
    <row r="31" spans="1:7" x14ac:dyDescent="0.25">
      <c r="A31" s="1"/>
      <c r="B31" s="24" t="s">
        <v>303</v>
      </c>
      <c r="C31" s="21">
        <v>1584</v>
      </c>
      <c r="D31" s="14" t="s">
        <v>3</v>
      </c>
      <c r="E31" s="9">
        <v>95976</v>
      </c>
      <c r="F31" s="14" t="s">
        <v>3</v>
      </c>
      <c r="G31" s="1"/>
    </row>
    <row r="32" spans="1:7" x14ac:dyDescent="0.25">
      <c r="A32" s="1"/>
      <c r="B32" s="24" t="s">
        <v>304</v>
      </c>
      <c r="C32" s="21">
        <v>1584</v>
      </c>
      <c r="D32" s="14" t="s">
        <v>3</v>
      </c>
      <c r="E32" s="9">
        <v>15923</v>
      </c>
      <c r="F32" s="14" t="s">
        <v>3</v>
      </c>
      <c r="G32" s="1"/>
    </row>
    <row r="33" spans="1:7" x14ac:dyDescent="0.25">
      <c r="A33" s="1"/>
      <c r="B33" s="24" t="s">
        <v>305</v>
      </c>
      <c r="C33" s="21">
        <v>1584</v>
      </c>
      <c r="D33" s="14" t="s">
        <v>3</v>
      </c>
      <c r="E33" s="9">
        <v>4889</v>
      </c>
      <c r="F33" s="14" t="s">
        <v>3</v>
      </c>
      <c r="G33" s="1"/>
    </row>
    <row r="34" spans="1:7" x14ac:dyDescent="0.25">
      <c r="A34" s="1"/>
      <c r="B34" s="24" t="s">
        <v>313</v>
      </c>
      <c r="C34" s="21">
        <v>46048</v>
      </c>
      <c r="D34" s="14" t="s">
        <v>3</v>
      </c>
      <c r="E34" s="9">
        <v>0</v>
      </c>
      <c r="F34" s="14" t="s">
        <v>3</v>
      </c>
      <c r="G34" s="1"/>
    </row>
    <row r="35" spans="1:7" x14ac:dyDescent="0.25">
      <c r="A35" s="1"/>
      <c r="B35" s="24"/>
      <c r="C35" s="21"/>
      <c r="D35" s="14" t="s">
        <v>3</v>
      </c>
      <c r="E35" s="9"/>
      <c r="F35" s="14" t="s">
        <v>3</v>
      </c>
      <c r="G35" s="1"/>
    </row>
    <row r="36" spans="1:7" x14ac:dyDescent="0.25">
      <c r="A36" s="1"/>
      <c r="B36" s="33" t="s">
        <v>144</v>
      </c>
      <c r="C36" s="12">
        <f>SUM(C10:C35)</f>
        <v>1506402</v>
      </c>
      <c r="D36" s="13" t="s">
        <v>3</v>
      </c>
      <c r="E36" s="12">
        <f>SUM(E10:E35)</f>
        <v>4064365</v>
      </c>
      <c r="F36" s="13" t="s">
        <v>3</v>
      </c>
      <c r="G36" s="1"/>
    </row>
    <row r="37" spans="1:7" x14ac:dyDescent="0.25">
      <c r="A37" s="1"/>
      <c r="B37" s="33" t="s">
        <v>233</v>
      </c>
      <c r="C37" s="12">
        <f>C36*(1+'Fane 15. Nøgletal'!C16)</f>
        <v>1628119.2815999999</v>
      </c>
      <c r="D37" s="13" t="s">
        <v>3</v>
      </c>
      <c r="E37" s="12">
        <f>E36*(1+'Fane 15. Nøgletal'!C16)</f>
        <v>4392765.6919999998</v>
      </c>
      <c r="F37" s="13" t="s">
        <v>3</v>
      </c>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cZf6EEsFS+vB462FKnfQLhEvOkGemJmghUif0RoKES4tpZRXAECVq6eAODW4VFS8d6NuMfEk/GEmgusLaUqP0w==" saltValue="Wpb33d+u9vbQebOlO1sQhg=="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showWhiteSpace="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184</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7" t="s">
        <v>260</v>
      </c>
      <c r="C8" s="118"/>
      <c r="D8" s="118"/>
      <c r="E8" s="118"/>
      <c r="F8" s="119"/>
      <c r="G8" s="1"/>
    </row>
    <row r="9" spans="1:7" x14ac:dyDescent="0.25">
      <c r="A9" s="1"/>
      <c r="B9" s="86" t="s">
        <v>17</v>
      </c>
      <c r="C9" s="86" t="s">
        <v>11</v>
      </c>
      <c r="D9" s="87"/>
      <c r="E9" s="86" t="s">
        <v>28</v>
      </c>
      <c r="F9" s="32"/>
      <c r="G9" s="1"/>
    </row>
    <row r="10" spans="1:7" x14ac:dyDescent="0.25">
      <c r="A10" s="1"/>
      <c r="B10" s="24" t="s">
        <v>306</v>
      </c>
      <c r="C10" s="21">
        <v>159313</v>
      </c>
      <c r="D10" s="14" t="s">
        <v>3</v>
      </c>
      <c r="E10" s="9">
        <v>0</v>
      </c>
      <c r="F10" s="14" t="s">
        <v>3</v>
      </c>
      <c r="G10" s="1"/>
    </row>
    <row r="11" spans="1:7" x14ac:dyDescent="0.25">
      <c r="A11" s="1"/>
      <c r="B11" s="24" t="s">
        <v>307</v>
      </c>
      <c r="C11" s="21">
        <v>313219</v>
      </c>
      <c r="D11" s="14" t="s">
        <v>3</v>
      </c>
      <c r="E11" s="9">
        <v>0</v>
      </c>
      <c r="F11" s="14" t="s">
        <v>3</v>
      </c>
      <c r="G11" s="1"/>
    </row>
    <row r="12" spans="1:7" x14ac:dyDescent="0.25">
      <c r="A12" s="1"/>
      <c r="B12" s="24" t="s">
        <v>308</v>
      </c>
      <c r="C12" s="21">
        <v>388717</v>
      </c>
      <c r="D12" s="14" t="s">
        <v>3</v>
      </c>
      <c r="E12" s="9">
        <v>0</v>
      </c>
      <c r="F12" s="14" t="s">
        <v>3</v>
      </c>
      <c r="G12" s="1"/>
    </row>
    <row r="13" spans="1:7" x14ac:dyDescent="0.25">
      <c r="A13" s="1"/>
      <c r="B13" s="24" t="s">
        <v>309</v>
      </c>
      <c r="C13" s="21">
        <v>183135</v>
      </c>
      <c r="D13" s="14" t="s">
        <v>3</v>
      </c>
      <c r="E13" s="9">
        <v>0</v>
      </c>
      <c r="F13" s="14" t="s">
        <v>3</v>
      </c>
      <c r="G13" s="1"/>
    </row>
    <row r="14" spans="1:7" x14ac:dyDescent="0.25">
      <c r="A14" s="1"/>
      <c r="B14" s="24" t="s">
        <v>310</v>
      </c>
      <c r="C14" s="21">
        <v>490625</v>
      </c>
      <c r="D14" s="14" t="s">
        <v>3</v>
      </c>
      <c r="E14" s="9">
        <v>0</v>
      </c>
      <c r="F14" s="14" t="s">
        <v>3</v>
      </c>
      <c r="G14" s="1"/>
    </row>
    <row r="15" spans="1:7" x14ac:dyDescent="0.25">
      <c r="A15" s="1"/>
      <c r="B15" s="24" t="s">
        <v>288</v>
      </c>
      <c r="C15" s="21">
        <v>221608</v>
      </c>
      <c r="D15" s="14" t="s">
        <v>3</v>
      </c>
      <c r="E15" s="9">
        <v>0</v>
      </c>
      <c r="F15" s="14" t="s">
        <v>3</v>
      </c>
      <c r="G15" s="1"/>
    </row>
    <row r="16" spans="1:7" x14ac:dyDescent="0.25">
      <c r="A16" s="1"/>
      <c r="B16" s="24" t="s">
        <v>311</v>
      </c>
      <c r="C16" s="21">
        <v>775467</v>
      </c>
      <c r="D16" s="14" t="s">
        <v>3</v>
      </c>
      <c r="E16" s="9">
        <v>0</v>
      </c>
      <c r="F16" s="14" t="s">
        <v>3</v>
      </c>
      <c r="G16" s="1"/>
    </row>
    <row r="17" spans="1:7" x14ac:dyDescent="0.25">
      <c r="A17" s="1"/>
      <c r="B17" s="24" t="s">
        <v>290</v>
      </c>
      <c r="C17" s="21">
        <v>70435</v>
      </c>
      <c r="D17" s="14" t="s">
        <v>3</v>
      </c>
      <c r="E17" s="9">
        <v>0</v>
      </c>
      <c r="F17" s="14" t="s">
        <v>3</v>
      </c>
      <c r="G17" s="1"/>
    </row>
    <row r="18" spans="1:7" x14ac:dyDescent="0.25">
      <c r="A18" s="1"/>
      <c r="B18" s="24" t="s">
        <v>313</v>
      </c>
      <c r="C18" s="21">
        <v>460483</v>
      </c>
      <c r="D18" s="14" t="s">
        <v>3</v>
      </c>
      <c r="E18" s="9">
        <v>0</v>
      </c>
      <c r="F18" s="14" t="s">
        <v>3</v>
      </c>
      <c r="G18" s="1"/>
    </row>
    <row r="19" spans="1:7" x14ac:dyDescent="0.25">
      <c r="A19" s="1"/>
      <c r="B19" s="24"/>
      <c r="C19" s="21"/>
      <c r="D19" s="14" t="s">
        <v>3</v>
      </c>
      <c r="E19" s="9"/>
      <c r="F19" s="14" t="s">
        <v>3</v>
      </c>
      <c r="G19" s="1"/>
    </row>
    <row r="20" spans="1:7" x14ac:dyDescent="0.25">
      <c r="A20" s="1"/>
      <c r="B20" s="33" t="s">
        <v>234</v>
      </c>
      <c r="C20" s="12">
        <f>SUM(C10:C19)</f>
        <v>3063002</v>
      </c>
      <c r="D20" s="13" t="s">
        <v>3</v>
      </c>
      <c r="E20" s="12">
        <f>SUM(E10:E19)</f>
        <v>0</v>
      </c>
      <c r="F20" s="13" t="s">
        <v>3</v>
      </c>
      <c r="G20" s="1"/>
    </row>
    <row r="21" spans="1:7" x14ac:dyDescent="0.25">
      <c r="A21" s="1"/>
      <c r="B21" s="33" t="s">
        <v>235</v>
      </c>
      <c r="C21" s="12">
        <f>C20*(1+'Fane 15. Nøgletal'!C16)^2</f>
        <v>3577980.3605772797</v>
      </c>
      <c r="D21" s="13" t="s">
        <v>3</v>
      </c>
      <c r="E21" s="12">
        <f>E20*(1+'Fane 15. Nøgletal'!C16)^2</f>
        <v>0</v>
      </c>
      <c r="F21" s="13" t="s">
        <v>3</v>
      </c>
      <c r="G21" s="1"/>
    </row>
    <row r="22" spans="1:7" x14ac:dyDescent="0.25">
      <c r="A22" s="1"/>
      <c r="B22" s="1"/>
      <c r="C22" s="1"/>
      <c r="D22" s="1"/>
      <c r="E22" s="1"/>
      <c r="F22" s="1"/>
      <c r="G22" s="1"/>
    </row>
    <row r="23" spans="1:7" x14ac:dyDescent="0.25">
      <c r="A23" s="1"/>
      <c r="B23" s="149"/>
      <c r="C23" s="149"/>
      <c r="D23" s="149"/>
      <c r="E23" s="149"/>
      <c r="F23" s="149"/>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49"/>
      <c r="C30" s="149"/>
      <c r="D30" s="149"/>
      <c r="E30" s="149"/>
      <c r="F30" s="149"/>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51"/>
      <c r="C36" s="51"/>
      <c r="D36" s="51"/>
      <c r="E36" s="51"/>
      <c r="F36" s="51"/>
      <c r="G36" s="1"/>
    </row>
    <row r="37" spans="1:7" x14ac:dyDescent="0.25">
      <c r="A37" s="1"/>
      <c r="B37" s="149"/>
      <c r="C37" s="149"/>
      <c r="D37" s="149"/>
      <c r="E37" s="149"/>
      <c r="F37" s="149"/>
      <c r="G37" s="1"/>
    </row>
    <row r="38" spans="1:7" x14ac:dyDescent="0.25">
      <c r="A38" s="1"/>
      <c r="B38" s="52"/>
      <c r="C38" s="52"/>
      <c r="D38" s="52"/>
      <c r="E38" s="52"/>
      <c r="F38" s="53"/>
      <c r="G38" s="1"/>
    </row>
    <row r="39" spans="1:7" x14ac:dyDescent="0.25">
      <c r="A39" s="1"/>
      <c r="B39" s="54"/>
      <c r="C39" s="55"/>
      <c r="D39" s="56"/>
      <c r="E39" s="57"/>
      <c r="F39" s="56"/>
      <c r="G39" s="1"/>
    </row>
    <row r="40" spans="1:7" x14ac:dyDescent="0.25">
      <c r="A40" s="1"/>
      <c r="B40" s="54"/>
      <c r="C40" s="55"/>
      <c r="D40" s="56"/>
      <c r="E40" s="57"/>
      <c r="F40" s="56"/>
      <c r="G40" s="1"/>
    </row>
    <row r="41" spans="1:7" x14ac:dyDescent="0.25">
      <c r="A41" s="1"/>
      <c r="B41" s="58"/>
      <c r="C41" s="59"/>
      <c r="D41" s="60"/>
      <c r="E41" s="59"/>
      <c r="F41" s="60"/>
      <c r="G41" s="1"/>
    </row>
    <row r="42" spans="1:7" x14ac:dyDescent="0.25">
      <c r="A42" s="1"/>
      <c r="B42" s="58"/>
      <c r="C42" s="59"/>
      <c r="D42" s="60"/>
      <c r="E42" s="59"/>
      <c r="F42" s="60"/>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0RRQzcuvKteoQt1XZYI9/r9qg7BqyDVdkKQr5bvaBkzQZo2YsyJEBWHGa25PzKNLIEX7CIi7YhYza8zpL/Yz3w==" saltValue="b9EfLSQLqLJyQ+BEnyk1yQ==" spinCount="100000" sheet="1" objects="1" scenarios="1"/>
  <mergeCells count="5">
    <mergeCell ref="B37:F37"/>
    <mergeCell ref="B3:F4"/>
    <mergeCell ref="B8:F8"/>
    <mergeCell ref="B23:F23"/>
    <mergeCell ref="B30:F30"/>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185</v>
      </c>
      <c r="C3" s="112"/>
      <c r="D3" s="112"/>
      <c r="E3" s="112"/>
      <c r="F3" s="112"/>
      <c r="G3" s="1"/>
    </row>
    <row r="4" spans="1:7" ht="15" customHeight="1" x14ac:dyDescent="0.25">
      <c r="A4" s="1"/>
      <c r="B4" s="112"/>
      <c r="C4" s="112"/>
      <c r="D4" s="112"/>
      <c r="E4" s="112"/>
      <c r="F4" s="112"/>
      <c r="G4" s="1"/>
    </row>
    <row r="5" spans="1:7" x14ac:dyDescent="0.25">
      <c r="A5" s="1"/>
      <c r="B5" s="112"/>
      <c r="C5" s="112"/>
      <c r="D5" s="112"/>
      <c r="E5" s="112"/>
      <c r="F5" s="112"/>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7" t="s">
        <v>110</v>
      </c>
      <c r="C9" s="118"/>
      <c r="D9" s="118"/>
      <c r="E9" s="118"/>
      <c r="F9" s="119"/>
      <c r="G9" s="1"/>
    </row>
    <row r="10" spans="1:7" x14ac:dyDescent="0.25">
      <c r="A10" s="1"/>
      <c r="B10" s="141" t="s">
        <v>236</v>
      </c>
      <c r="C10" s="142"/>
      <c r="D10" s="143"/>
      <c r="E10" s="9">
        <v>0</v>
      </c>
      <c r="F10" s="14" t="s">
        <v>3</v>
      </c>
      <c r="G10" s="1"/>
    </row>
    <row r="11" spans="1:7" x14ac:dyDescent="0.25">
      <c r="A11" s="1"/>
      <c r="B11" s="150" t="s">
        <v>10</v>
      </c>
      <c r="C11" s="151"/>
      <c r="D11" s="152"/>
      <c r="E11" s="9">
        <f>-E10*'Fane 5. Individuelt eff. krav'!G9</f>
        <v>0</v>
      </c>
      <c r="F11" s="14" t="s">
        <v>3</v>
      </c>
      <c r="G11" s="1"/>
    </row>
    <row r="12" spans="1:7" x14ac:dyDescent="0.25">
      <c r="A12" s="1"/>
      <c r="B12" s="150" t="s">
        <v>23</v>
      </c>
      <c r="C12" s="151"/>
      <c r="D12" s="152"/>
      <c r="E12" s="9">
        <f>-E10*'Fane 15. Nøgletal'!C33</f>
        <v>0</v>
      </c>
      <c r="F12" s="14" t="s">
        <v>3</v>
      </c>
      <c r="G12" s="1"/>
    </row>
    <row r="13" spans="1:7" x14ac:dyDescent="0.25">
      <c r="A13" s="1"/>
      <c r="B13" s="117" t="s">
        <v>111</v>
      </c>
      <c r="C13" s="118"/>
      <c r="D13" s="119"/>
      <c r="E13" s="12">
        <f>SUM(E10:E12)*(1+'Fane 15. Nøgletal'!C16)^2</f>
        <v>0</v>
      </c>
      <c r="F13" s="13" t="s">
        <v>3</v>
      </c>
      <c r="G13" s="1"/>
    </row>
    <row r="14" spans="1:7" x14ac:dyDescent="0.25">
      <c r="A14" s="1"/>
      <c r="B14" s="1"/>
      <c r="C14" s="1"/>
      <c r="D14" s="1"/>
      <c r="E14" s="1"/>
      <c r="F14" s="1"/>
      <c r="G14" s="1"/>
    </row>
    <row r="15" spans="1:7" ht="15" customHeight="1" x14ac:dyDescent="0.25">
      <c r="A15" s="1"/>
      <c r="B15" s="117" t="s">
        <v>124</v>
      </c>
      <c r="C15" s="118"/>
      <c r="D15" s="118"/>
      <c r="E15" s="118"/>
      <c r="F15" s="119"/>
      <c r="G15" s="1"/>
    </row>
    <row r="16" spans="1:7" x14ac:dyDescent="0.25">
      <c r="A16" s="1"/>
      <c r="B16" s="141" t="s">
        <v>236</v>
      </c>
      <c r="C16" s="142"/>
      <c r="D16" s="143"/>
      <c r="E16" s="9">
        <v>0</v>
      </c>
      <c r="F16" s="14" t="s">
        <v>3</v>
      </c>
      <c r="G16" s="1"/>
    </row>
    <row r="17" spans="1:7" x14ac:dyDescent="0.25">
      <c r="A17" s="1"/>
      <c r="B17" s="150" t="s">
        <v>10</v>
      </c>
      <c r="C17" s="151"/>
      <c r="D17" s="152"/>
      <c r="E17" s="9">
        <f>-E16*'Fane 5. Individuelt eff. krav'!G9</f>
        <v>0</v>
      </c>
      <c r="F17" s="14" t="s">
        <v>3</v>
      </c>
      <c r="G17" s="1"/>
    </row>
    <row r="18" spans="1:7" x14ac:dyDescent="0.25">
      <c r="A18" s="1"/>
      <c r="B18" s="150" t="s">
        <v>23</v>
      </c>
      <c r="C18" s="151"/>
      <c r="D18" s="152"/>
      <c r="E18" s="9">
        <f>-E16*'Fane 15. Nøgletal'!C33</f>
        <v>0</v>
      </c>
      <c r="F18" s="14" t="s">
        <v>3</v>
      </c>
      <c r="G18" s="1"/>
    </row>
    <row r="19" spans="1:7" x14ac:dyDescent="0.25">
      <c r="A19" s="1"/>
      <c r="B19" s="117" t="s">
        <v>125</v>
      </c>
      <c r="C19" s="118"/>
      <c r="D19" s="119"/>
      <c r="E19" s="12">
        <f>SUM(E16:E18)*(1+'Fane 15. Nøgletal'!C16)^3</f>
        <v>0</v>
      </c>
      <c r="F19" s="13" t="s">
        <v>3</v>
      </c>
      <c r="G19" s="1"/>
    </row>
    <row r="20" spans="1:7" x14ac:dyDescent="0.25">
      <c r="A20" s="1"/>
      <c r="B20" s="1"/>
      <c r="C20" s="1"/>
      <c r="D20" s="1"/>
      <c r="E20" s="1"/>
      <c r="F20" s="1"/>
      <c r="G20" s="1"/>
    </row>
    <row r="21" spans="1:7" ht="15" customHeight="1" x14ac:dyDescent="0.25">
      <c r="A21" s="1"/>
      <c r="B21" s="117" t="s">
        <v>145</v>
      </c>
      <c r="C21" s="118"/>
      <c r="D21" s="118"/>
      <c r="E21" s="118"/>
      <c r="F21" s="119"/>
      <c r="G21" s="1"/>
    </row>
    <row r="22" spans="1:7" x14ac:dyDescent="0.25">
      <c r="A22" s="1"/>
      <c r="B22" s="141" t="s">
        <v>236</v>
      </c>
      <c r="C22" s="142"/>
      <c r="D22" s="143"/>
      <c r="E22" s="9">
        <v>0</v>
      </c>
      <c r="F22" s="14" t="s">
        <v>3</v>
      </c>
      <c r="G22" s="1"/>
    </row>
    <row r="23" spans="1:7" x14ac:dyDescent="0.25">
      <c r="A23" s="1"/>
      <c r="B23" s="150" t="s">
        <v>10</v>
      </c>
      <c r="C23" s="151"/>
      <c r="D23" s="152"/>
      <c r="E23" s="9">
        <f>-E22*'Fane 5. Individuelt eff. krav'!G9</f>
        <v>0</v>
      </c>
      <c r="F23" s="14" t="s">
        <v>3</v>
      </c>
      <c r="G23" s="1"/>
    </row>
    <row r="24" spans="1:7" x14ac:dyDescent="0.25">
      <c r="A24" s="1"/>
      <c r="B24" s="150" t="s">
        <v>23</v>
      </c>
      <c r="C24" s="151"/>
      <c r="D24" s="152"/>
      <c r="E24" s="9">
        <f>-E22*'Fane 15. Nøgletal'!C33</f>
        <v>0</v>
      </c>
      <c r="F24" s="14" t="s">
        <v>3</v>
      </c>
      <c r="G24" s="1"/>
    </row>
    <row r="25" spans="1:7" x14ac:dyDescent="0.25">
      <c r="A25" s="1"/>
      <c r="B25" s="117" t="s">
        <v>146</v>
      </c>
      <c r="C25" s="118"/>
      <c r="D25" s="119"/>
      <c r="E25" s="12">
        <f>SUM(E22:E24)*(1+'Fane 15. Nøgletal'!C16)^4</f>
        <v>0</v>
      </c>
      <c r="F25" s="13" t="s">
        <v>3</v>
      </c>
      <c r="G25" s="1"/>
    </row>
    <row r="26" spans="1:7" x14ac:dyDescent="0.25">
      <c r="A26" s="1"/>
      <c r="B26" s="1"/>
      <c r="C26" s="1"/>
      <c r="D26" s="1"/>
      <c r="E26" s="1"/>
      <c r="F26" s="1"/>
      <c r="G26" s="1"/>
    </row>
    <row r="27" spans="1:7" ht="15" customHeight="1" x14ac:dyDescent="0.25">
      <c r="A27" s="1"/>
      <c r="B27" s="117" t="s">
        <v>237</v>
      </c>
      <c r="C27" s="118"/>
      <c r="D27" s="118"/>
      <c r="E27" s="118"/>
      <c r="F27" s="119"/>
      <c r="G27" s="1"/>
    </row>
    <row r="28" spans="1:7" ht="14.25" customHeight="1" x14ac:dyDescent="0.25">
      <c r="A28" s="1"/>
      <c r="B28" s="141" t="s">
        <v>236</v>
      </c>
      <c r="C28" s="142"/>
      <c r="D28" s="143"/>
      <c r="E28" s="9">
        <v>0</v>
      </c>
      <c r="F28" s="14" t="s">
        <v>3</v>
      </c>
      <c r="G28" s="1"/>
    </row>
    <row r="29" spans="1:7" x14ac:dyDescent="0.25">
      <c r="A29" s="1"/>
      <c r="B29" s="150" t="s">
        <v>10</v>
      </c>
      <c r="C29" s="151"/>
      <c r="D29" s="152"/>
      <c r="E29" s="9">
        <f>-E28*'Fane 5. Individuelt eff. krav'!G9</f>
        <v>0</v>
      </c>
      <c r="F29" s="14" t="s">
        <v>3</v>
      </c>
      <c r="G29" s="1"/>
    </row>
    <row r="30" spans="1:7" x14ac:dyDescent="0.25">
      <c r="A30" s="1"/>
      <c r="B30" s="150" t="s">
        <v>23</v>
      </c>
      <c r="C30" s="151"/>
      <c r="D30" s="152"/>
      <c r="E30" s="9">
        <f>-E28*'Fane 15. Nøgletal'!C33</f>
        <v>0</v>
      </c>
      <c r="F30" s="14" t="s">
        <v>3</v>
      </c>
      <c r="G30" s="1"/>
    </row>
    <row r="31" spans="1:7" x14ac:dyDescent="0.25">
      <c r="A31" s="1"/>
      <c r="B31" s="117" t="s">
        <v>238</v>
      </c>
      <c r="C31" s="118"/>
      <c r="D31" s="119"/>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TKyhVhyyDHsn/tDMewdeASNOhi9QiJ95mrhA/WRJJfmpBsJfxBBNszpdahiq9tSxitEXxhc5Ayqwzl51xDeb2Q==" saltValue="iCZ3n7l0j/u2KnM+A8MRKA=="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186</v>
      </c>
      <c r="C3" s="112"/>
      <c r="D3" s="112"/>
      <c r="E3" s="112"/>
      <c r="F3" s="112"/>
      <c r="G3" s="1"/>
    </row>
    <row r="4" spans="1:7" ht="25.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7" t="s">
        <v>112</v>
      </c>
      <c r="C8" s="118"/>
      <c r="D8" s="118"/>
      <c r="E8" s="118"/>
      <c r="F8" s="119"/>
      <c r="G8" s="1"/>
    </row>
    <row r="9" spans="1:7" ht="15" customHeight="1" x14ac:dyDescent="0.25">
      <c r="A9" s="1"/>
      <c r="B9" s="31" t="s">
        <v>113</v>
      </c>
      <c r="C9" s="31" t="s">
        <v>11</v>
      </c>
      <c r="D9" s="32"/>
      <c r="E9" s="31" t="s">
        <v>28</v>
      </c>
      <c r="F9" s="32"/>
      <c r="G9" s="1"/>
    </row>
    <row r="10" spans="1:7" ht="26.25" x14ac:dyDescent="0.25">
      <c r="A10" s="1"/>
      <c r="B10" s="71"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AhNDP3yy44T0g8zTXVkKgzL3pZsh54HVG/V8VWoBrtbfPgyoAnR8dVFk3jc9hUpc4QBWUO7lmQye1SaeEMzcsg==" saltValue="BFzMnLNQKrkSXnf68+VHRA=="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187</v>
      </c>
      <c r="C3" s="112"/>
      <c r="D3" s="112"/>
      <c r="E3" s="112"/>
      <c r="F3" s="112"/>
      <c r="G3" s="1"/>
    </row>
    <row r="4" spans="1:7" ht="25.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7" t="s">
        <v>240</v>
      </c>
      <c r="C9" s="118"/>
      <c r="D9" s="118"/>
      <c r="E9" s="118"/>
      <c r="F9" s="119"/>
      <c r="G9" s="1"/>
    </row>
    <row r="10" spans="1:7" ht="26.25" customHeight="1" x14ac:dyDescent="0.25">
      <c r="A10" s="1"/>
      <c r="B10" s="31" t="s">
        <v>18</v>
      </c>
      <c r="C10" s="144" t="s">
        <v>11</v>
      </c>
      <c r="D10" s="146"/>
      <c r="E10" s="144" t="s">
        <v>28</v>
      </c>
      <c r="F10" s="146"/>
      <c r="G10" s="1"/>
    </row>
    <row r="11" spans="1:7" x14ac:dyDescent="0.25">
      <c r="A11" s="1"/>
      <c r="B11" s="71"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49"/>
      <c r="C15" s="149"/>
      <c r="D15" s="149"/>
      <c r="E15" s="149"/>
      <c r="F15" s="149"/>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49"/>
      <c r="C21" s="149"/>
      <c r="D21" s="149"/>
      <c r="E21" s="149"/>
      <c r="F21" s="149"/>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49"/>
      <c r="C27" s="149"/>
      <c r="D27" s="149"/>
      <c r="E27" s="149"/>
      <c r="F27" s="149"/>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HSIzmTka6DAOqzXXaA/ZVHce2is7fUdLu/74rSLrZ3WMEN5QjRXsiO51yEcahKR40CdHJLeo0WVaJG4uQu8Mcw==" saltValue="WdZw/oTSStyQyyuyzDQqDA=="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201</v>
      </c>
      <c r="C3" s="110"/>
      <c r="D3" s="110"/>
      <c r="E3" s="1"/>
    </row>
    <row r="4" spans="1:5" ht="15" customHeight="1" x14ac:dyDescent="0.25">
      <c r="A4" s="1"/>
      <c r="B4" s="110"/>
      <c r="C4" s="110"/>
      <c r="D4" s="110"/>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123031217.10862687</v>
      </c>
      <c r="D9" s="8" t="s">
        <v>3</v>
      </c>
      <c r="E9" s="1"/>
    </row>
    <row r="10" spans="1:5" ht="17.25" customHeight="1" x14ac:dyDescent="0.25">
      <c r="A10" s="1"/>
      <c r="B10" s="88" t="s">
        <v>36</v>
      </c>
      <c r="C10" s="7">
        <f>'Fane 11.1. Varige tillæg'!C37</f>
        <v>1628119.2815999999</v>
      </c>
      <c r="D10" s="8" t="s">
        <v>3</v>
      </c>
      <c r="E10" s="1"/>
    </row>
    <row r="11" spans="1:5" ht="17.25" customHeight="1" x14ac:dyDescent="0.25">
      <c r="A11" s="1"/>
      <c r="B11" s="88" t="s">
        <v>37</v>
      </c>
      <c r="C11" s="9">
        <f>'Fane 11.1. Varige tillæg'!E37</f>
        <v>4392765.6919999998</v>
      </c>
      <c r="D11" s="8" t="s">
        <v>3</v>
      </c>
      <c r="E11" s="1"/>
    </row>
    <row r="12" spans="1:5" ht="17.25" customHeight="1" x14ac:dyDescent="0.25">
      <c r="A12" s="1"/>
      <c r="B12" s="88" t="s">
        <v>26</v>
      </c>
      <c r="C12" s="9">
        <f>-'Fane 14. Bortfald'!C13</f>
        <v>0</v>
      </c>
      <c r="D12" s="8" t="s">
        <v>3</v>
      </c>
      <c r="E12" s="1"/>
    </row>
    <row r="13" spans="1:5" ht="17.25" customHeight="1" x14ac:dyDescent="0.25">
      <c r="A13" s="1"/>
      <c r="B13" s="88" t="s">
        <v>25</v>
      </c>
      <c r="C13" s="9">
        <f>-'Fane 14. Bortfald'!E13</f>
        <v>0</v>
      </c>
      <c r="D13" s="8" t="s">
        <v>3</v>
      </c>
      <c r="E13" s="1"/>
    </row>
    <row r="14" spans="1:5" ht="17.25" customHeight="1" x14ac:dyDescent="0.25">
      <c r="A14" s="1"/>
      <c r="B14" s="88" t="s">
        <v>105</v>
      </c>
      <c r="C14" s="9">
        <f>'Fane 13. Tilknyttet virksomhed'!C14</f>
        <v>0</v>
      </c>
      <c r="D14" s="8" t="s">
        <v>3</v>
      </c>
      <c r="E14" s="1"/>
    </row>
    <row r="15" spans="1:5" ht="17.25" customHeight="1" x14ac:dyDescent="0.25">
      <c r="A15" s="1"/>
      <c r="B15" s="88" t="s">
        <v>106</v>
      </c>
      <c r="C15" s="9">
        <f>'Fane 13. Tilknyttet virksomhed'!E14</f>
        <v>0</v>
      </c>
      <c r="D15" s="8" t="s">
        <v>3</v>
      </c>
      <c r="E15" s="1"/>
    </row>
    <row r="16" spans="1:5" ht="17.25" customHeight="1" x14ac:dyDescent="0.25">
      <c r="A16" s="1"/>
      <c r="B16" s="88" t="s">
        <v>19</v>
      </c>
      <c r="C16" s="41">
        <f>SUM(C9)*'Fane 15. Nøgletal'!C16+SUM(C10:C15)*'Fane 15. Nøgletal'!C16</f>
        <v>10427409.848243931</v>
      </c>
      <c r="D16" s="8" t="s">
        <v>3</v>
      </c>
      <c r="E16" s="1"/>
    </row>
    <row r="17" spans="1:5" ht="17.25" customHeight="1" x14ac:dyDescent="0.25">
      <c r="A17" s="1"/>
      <c r="B17" s="88" t="s">
        <v>10</v>
      </c>
      <c r="C17" s="41">
        <f>-SUM(C9,C10:C16)*'Fane 5. Individuelt eff. krav'!G9</f>
        <v>-1582762.101954614</v>
      </c>
      <c r="D17" s="8" t="s">
        <v>3</v>
      </c>
      <c r="E17" s="1"/>
    </row>
    <row r="18" spans="1:5" ht="17.25" customHeight="1" x14ac:dyDescent="0.25">
      <c r="A18" s="1"/>
      <c r="B18" s="88" t="s">
        <v>23</v>
      </c>
      <c r="C18" s="41">
        <f>-'Fane 4.1. Gen. krav - drift'!G54</f>
        <v>-817887.89536890003</v>
      </c>
      <c r="D18" s="8" t="s">
        <v>3</v>
      </c>
      <c r="E18" s="1"/>
    </row>
    <row r="19" spans="1:5" ht="17.25" customHeight="1" x14ac:dyDescent="0.25">
      <c r="A19" s="1"/>
      <c r="B19" s="88" t="s">
        <v>24</v>
      </c>
      <c r="C19" s="41">
        <f>-'Fane 4.2. Gen. krav - anlæg'!G55</f>
        <v>0</v>
      </c>
      <c r="D19" s="8" t="s">
        <v>3</v>
      </c>
      <c r="E19" s="47"/>
    </row>
    <row r="20" spans="1:5" ht="17.25" customHeight="1" x14ac:dyDescent="0.25">
      <c r="A20" s="1"/>
      <c r="B20" s="82" t="s">
        <v>21</v>
      </c>
      <c r="C20" s="10">
        <f>SUM(C9:C19)</f>
        <v>137078861.93314728</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13641468.16873792</v>
      </c>
      <c r="D22" s="11" t="s">
        <v>3</v>
      </c>
      <c r="E22" s="1"/>
    </row>
    <row r="23" spans="1:5" ht="15" customHeight="1" x14ac:dyDescent="0.25">
      <c r="A23" s="1"/>
      <c r="B23" s="33" t="s">
        <v>74</v>
      </c>
      <c r="C23" s="28"/>
      <c r="D23" s="19"/>
      <c r="E23" s="1"/>
    </row>
    <row r="24" spans="1:5" ht="15" customHeight="1" x14ac:dyDescent="0.25">
      <c r="A24" s="1"/>
      <c r="B24" s="82"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88" t="s">
        <v>158</v>
      </c>
      <c r="C26" s="41">
        <f>'Fane 11.2. Engangstillæg'!C21</f>
        <v>3577980.3605772797</v>
      </c>
      <c r="D26" s="8" t="s">
        <v>3</v>
      </c>
      <c r="E26" s="1"/>
    </row>
    <row r="27" spans="1:5" ht="15" customHeight="1" x14ac:dyDescent="0.25">
      <c r="A27" s="1"/>
      <c r="B27" s="88" t="s">
        <v>70</v>
      </c>
      <c r="C27" s="41">
        <f>'Fane 11.2. Engangstillæg'!E21</f>
        <v>0</v>
      </c>
      <c r="D27" s="8" t="s">
        <v>3</v>
      </c>
      <c r="E27" s="1"/>
    </row>
    <row r="28" spans="1:5" ht="15" customHeight="1" x14ac:dyDescent="0.25">
      <c r="A28" s="1"/>
      <c r="B28" s="88" t="s">
        <v>161</v>
      </c>
      <c r="C28" s="41">
        <f>-C26*('Fane 15. Nøgletal'!C33+'Fane 5. Individuelt eff. krav'!G9)</f>
        <v>-112161.20982600427</v>
      </c>
      <c r="D28" s="8" t="s">
        <v>3</v>
      </c>
      <c r="E28" s="1"/>
    </row>
    <row r="29" spans="1:5" ht="15" customHeight="1" x14ac:dyDescent="0.25">
      <c r="A29" s="1"/>
      <c r="B29" s="88" t="s">
        <v>162</v>
      </c>
      <c r="C29" s="41">
        <f>-C27*('Fane 15. Nøgletal'!C28+'Fane 5. Individuelt eff. krav'!G9)</f>
        <v>0</v>
      </c>
      <c r="D29" s="8" t="s">
        <v>3</v>
      </c>
      <c r="E29" s="1"/>
    </row>
    <row r="30" spans="1:5" ht="15" customHeight="1" x14ac:dyDescent="0.25">
      <c r="A30" s="1"/>
      <c r="B30" s="70" t="s">
        <v>75</v>
      </c>
      <c r="C30" s="10">
        <f>SUM(C26:C29)</f>
        <v>3465819.1507512755</v>
      </c>
      <c r="D30" s="11" t="s">
        <v>3</v>
      </c>
      <c r="E30" s="1"/>
    </row>
    <row r="31" spans="1:5" x14ac:dyDescent="0.25">
      <c r="A31" s="1"/>
      <c r="B31" s="33" t="s">
        <v>116</v>
      </c>
      <c r="C31" s="28"/>
      <c r="D31" s="19"/>
      <c r="E31" s="1"/>
    </row>
    <row r="32" spans="1:5" x14ac:dyDescent="0.25">
      <c r="A32" s="1"/>
      <c r="B32" s="31" t="s">
        <v>138</v>
      </c>
      <c r="C32" s="10">
        <f>'Fane 7. Kontrol af ØR2022'!E31</f>
        <v>0</v>
      </c>
      <c r="D32" s="11" t="s">
        <v>3</v>
      </c>
      <c r="E32" s="1"/>
    </row>
    <row r="33" spans="1:5" ht="15" customHeight="1" x14ac:dyDescent="0.25">
      <c r="A33" s="1"/>
      <c r="B33" s="33" t="s">
        <v>200</v>
      </c>
      <c r="C33" s="28"/>
      <c r="D33" s="19"/>
      <c r="E33" s="1"/>
    </row>
    <row r="34" spans="1:5" x14ac:dyDescent="0.25">
      <c r="A34" s="1"/>
      <c r="B34" s="31" t="s">
        <v>200</v>
      </c>
      <c r="C34" s="10">
        <f>'Fane 9. Korrektion af ØR2022'!E17</f>
        <v>0</v>
      </c>
      <c r="D34" s="11" t="s">
        <v>3</v>
      </c>
      <c r="E34" s="1"/>
    </row>
    <row r="35" spans="1:5" x14ac:dyDescent="0.25">
      <c r="A35" s="1"/>
      <c r="B35" s="30" t="s">
        <v>135</v>
      </c>
      <c r="C35" s="28"/>
      <c r="D35" s="19"/>
      <c r="E35" s="1"/>
    </row>
    <row r="36" spans="1:5" x14ac:dyDescent="0.25">
      <c r="A36" s="1"/>
      <c r="B36" s="70" t="s">
        <v>136</v>
      </c>
      <c r="C36" s="10">
        <f>'Fane 8. Skattesagen'!G13</f>
        <v>-6024166.6666666698</v>
      </c>
      <c r="D36" s="11" t="s">
        <v>3</v>
      </c>
      <c r="E36" s="1"/>
    </row>
    <row r="37" spans="1:5" x14ac:dyDescent="0.25">
      <c r="A37" s="1"/>
      <c r="B37" s="33" t="s">
        <v>108</v>
      </c>
      <c r="C37" s="49">
        <f>SUM(C34,C32,C24,C30,C22,C20,C36)</f>
        <v>148161982.58596984</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GqpXOVLB4lZxBgPlAn34prnXAQRdUumtqa+PHDMlZVIfyHX/IQceaU/90rFr+w/BnRbQJ9rJPHQVgOtALc0grw==" saltValue="UlmSicrqYCXl4dvOamXja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2" t="s">
        <v>188</v>
      </c>
      <c r="C3" s="112"/>
      <c r="D3" s="1"/>
    </row>
    <row r="4" spans="1:4" ht="25.5" customHeight="1" x14ac:dyDescent="0.25">
      <c r="A4" s="1"/>
      <c r="B4" s="112"/>
      <c r="C4" s="112"/>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1" t="s">
        <v>94</v>
      </c>
      <c r="C9" s="25">
        <v>1.2699999999999999E-2</v>
      </c>
      <c r="D9" s="1"/>
    </row>
    <row r="10" spans="1:4" x14ac:dyDescent="0.25">
      <c r="A10" s="1"/>
      <c r="B10" s="81" t="s">
        <v>95</v>
      </c>
      <c r="C10" s="25">
        <v>1.7500000000000002E-2</v>
      </c>
      <c r="D10" s="1"/>
    </row>
    <row r="11" spans="1:4" x14ac:dyDescent="0.25">
      <c r="A11" s="1"/>
      <c r="B11" s="81"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1" t="s">
        <v>133</v>
      </c>
      <c r="C14" s="39">
        <v>3.3E-3</v>
      </c>
      <c r="D14" s="1"/>
    </row>
    <row r="15" spans="1:4" x14ac:dyDescent="0.25">
      <c r="A15" s="1"/>
      <c r="B15" s="34" t="s">
        <v>152</v>
      </c>
      <c r="C15" s="35">
        <v>3.56E-2</v>
      </c>
      <c r="D15" s="1"/>
    </row>
    <row r="16" spans="1:4" x14ac:dyDescent="0.25">
      <c r="A16" s="1"/>
      <c r="B16" s="65" t="s">
        <v>190</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1" t="s">
        <v>96</v>
      </c>
      <c r="C21" s="22">
        <v>9.1000000000000004E-3</v>
      </c>
      <c r="D21" s="1"/>
    </row>
    <row r="22" spans="1:4" x14ac:dyDescent="0.25">
      <c r="A22" s="1"/>
      <c r="B22" s="81" t="s">
        <v>118</v>
      </c>
      <c r="C22" s="22">
        <v>1.77E-2</v>
      </c>
      <c r="D22" s="1"/>
    </row>
    <row r="23" spans="1:4" x14ac:dyDescent="0.25">
      <c r="A23" s="1"/>
      <c r="B23" s="81" t="s">
        <v>119</v>
      </c>
      <c r="C23" s="22">
        <v>8.6999999999999994E-3</v>
      </c>
      <c r="D23" s="1"/>
    </row>
    <row r="24" spans="1:4" x14ac:dyDescent="0.25">
      <c r="A24" s="1"/>
      <c r="B24" s="81" t="s">
        <v>97</v>
      </c>
      <c r="C24" s="36">
        <v>2.8400000000000002E-2</v>
      </c>
      <c r="D24" s="1"/>
    </row>
    <row r="25" spans="1:4" x14ac:dyDescent="0.25">
      <c r="A25" s="1"/>
      <c r="B25" s="81" t="s">
        <v>120</v>
      </c>
      <c r="C25" s="36">
        <v>2.75E-2</v>
      </c>
      <c r="D25" s="1"/>
    </row>
    <row r="26" spans="1:4" x14ac:dyDescent="0.25">
      <c r="A26" s="1"/>
      <c r="B26" s="81" t="s">
        <v>121</v>
      </c>
      <c r="C26" s="36">
        <v>1.4800000000000001E-2</v>
      </c>
      <c r="D26" s="1"/>
    </row>
    <row r="27" spans="1:4" x14ac:dyDescent="0.25">
      <c r="A27" s="1"/>
      <c r="B27" s="34" t="s">
        <v>147</v>
      </c>
      <c r="C27" s="64">
        <v>0</v>
      </c>
      <c r="D27" s="1"/>
    </row>
    <row r="28" spans="1:4" x14ac:dyDescent="0.25">
      <c r="A28" s="1"/>
      <c r="B28" s="65" t="s">
        <v>191</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1"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yMzkGAkZsVEK9/9f7P+2js492KvnpcH/WAwq71sVDm32XIAA13xp2tMnKxtzZ6skmVzUsginT0DYJWlyTgG+7Q==" saltValue="LUJm0JbPa/bmJoZ3DMCJ/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202</v>
      </c>
      <c r="C3" s="110"/>
      <c r="D3" s="110"/>
      <c r="E3" s="1"/>
    </row>
    <row r="4" spans="1:5" ht="15" customHeight="1" x14ac:dyDescent="0.25">
      <c r="A4" s="1"/>
      <c r="B4" s="110"/>
      <c r="C4" s="110"/>
      <c r="D4" s="110"/>
      <c r="E4" s="1"/>
    </row>
    <row r="5" spans="1:5" x14ac:dyDescent="0.25">
      <c r="A5" s="1"/>
      <c r="B5" s="111"/>
      <c r="C5" s="111"/>
      <c r="D5" s="11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137078861.93314728</v>
      </c>
      <c r="D9" s="8" t="s">
        <v>3</v>
      </c>
      <c r="E9" s="1"/>
    </row>
    <row r="10" spans="1:5" ht="15" customHeight="1" x14ac:dyDescent="0.25">
      <c r="A10" s="1"/>
      <c r="B10" s="26" t="s">
        <v>19</v>
      </c>
      <c r="C10" s="7">
        <f>SUM(C9:C9)*'Fane 15. Nøgletal'!C16</f>
        <v>11075972.044198301</v>
      </c>
      <c r="D10" s="8" t="s">
        <v>3</v>
      </c>
      <c r="E10" s="1"/>
    </row>
    <row r="11" spans="1:5" ht="15" customHeight="1" x14ac:dyDescent="0.25">
      <c r="A11" s="1"/>
      <c r="B11" s="26" t="s">
        <v>10</v>
      </c>
      <c r="C11" s="9">
        <f>-SUM(C9:C10)*'Fane 5. Individuelt eff. krav'!G9</f>
        <v>-1681206.4596097334</v>
      </c>
      <c r="D11" s="8" t="s">
        <v>3</v>
      </c>
      <c r="E11" s="1"/>
    </row>
    <row r="12" spans="1:5" ht="15" customHeight="1" x14ac:dyDescent="0.25">
      <c r="A12" s="1"/>
      <c r="B12" s="26" t="s">
        <v>23</v>
      </c>
      <c r="C12" s="9">
        <f>-'Fane 4.1. Gen. krav - drift'!G59</f>
        <v>-866293.77256841306</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145607333.74516743</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14743698.796771944</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ØR2022'!E31</f>
        <v>0</v>
      </c>
      <c r="D20" s="11" t="s">
        <v>3</v>
      </c>
      <c r="E20" s="1"/>
    </row>
    <row r="21" spans="1:5" x14ac:dyDescent="0.25">
      <c r="A21" s="1"/>
      <c r="B21" s="30" t="s">
        <v>135</v>
      </c>
      <c r="C21" s="28"/>
      <c r="D21" s="19"/>
      <c r="E21" s="1"/>
    </row>
    <row r="22" spans="1:5" x14ac:dyDescent="0.25">
      <c r="A22" s="1"/>
      <c r="B22" s="70" t="s">
        <v>136</v>
      </c>
      <c r="C22" s="10">
        <f>'Fane 8. Skattesagen'!G14</f>
        <v>-6024166.6666666698</v>
      </c>
      <c r="D22" s="11" t="s">
        <v>3</v>
      </c>
      <c r="E22" s="1"/>
    </row>
    <row r="23" spans="1:5" x14ac:dyDescent="0.25">
      <c r="A23" s="1"/>
      <c r="B23" s="33" t="s">
        <v>122</v>
      </c>
      <c r="C23" s="12">
        <f>SUM(C14,C16,C18,C20,C22)</f>
        <v>154326865.87527272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HhU8hJAW/SQ4bGonI6kAkPt6gk0pHSuX+n9cRrdDjGRydv8fkGVhGx82vzIy75inw0FF/T7QN0q/Qqo4vsXIFA==" saltValue="T/Xa48YTax+3XBBwsicO0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203</v>
      </c>
      <c r="C3" s="110"/>
      <c r="D3" s="110"/>
      <c r="E3" s="1"/>
    </row>
    <row r="4" spans="1:5" ht="15" customHeight="1" x14ac:dyDescent="0.25">
      <c r="A4" s="1"/>
      <c r="B4" s="110"/>
      <c r="C4" s="110"/>
      <c r="D4" s="110"/>
      <c r="E4" s="1"/>
    </row>
    <row r="5" spans="1:5" x14ac:dyDescent="0.25">
      <c r="A5" s="1"/>
      <c r="B5" s="111" t="s">
        <v>253</v>
      </c>
      <c r="C5" s="111"/>
      <c r="D5" s="111"/>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145607333.74516743</v>
      </c>
      <c r="D9" s="8" t="s">
        <v>3</v>
      </c>
      <c r="E9" s="1"/>
    </row>
    <row r="10" spans="1:5" ht="15" customHeight="1" x14ac:dyDescent="0.25">
      <c r="A10" s="1"/>
      <c r="B10" s="26" t="s">
        <v>19</v>
      </c>
      <c r="C10" s="7">
        <f>SUM(C9:C9)*'Fane 15. Nøgletal'!C16</f>
        <v>11765072.566609528</v>
      </c>
      <c r="D10" s="8" t="s">
        <v>3</v>
      </c>
      <c r="E10" s="1"/>
    </row>
    <row r="11" spans="1:5" ht="15" customHeight="1" x14ac:dyDescent="0.25">
      <c r="A11" s="1"/>
      <c r="B11" s="26" t="s">
        <v>10</v>
      </c>
      <c r="C11" s="9">
        <f>-SUM(C9:C10)*'Fane 5. Individuelt eff. krav'!G9</f>
        <v>-1785804.0737040234</v>
      </c>
      <c r="D11" s="8" t="s">
        <v>3</v>
      </c>
      <c r="E11" s="1"/>
    </row>
    <row r="12" spans="1:5" ht="15" customHeight="1" x14ac:dyDescent="0.25">
      <c r="A12" s="1"/>
      <c r="B12" s="26" t="s">
        <v>23</v>
      </c>
      <c r="C12" s="9">
        <f>-'Fane 4.1. Gen. krav - drift'!G64</f>
        <v>-917564.50320410193</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154669037.73486882</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15934989.659551116</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0" t="s">
        <v>136</v>
      </c>
      <c r="C22" s="10">
        <f>'Fane 8. Skattesagen'!G15</f>
        <v>-6024166.6666666698</v>
      </c>
      <c r="D22" s="11" t="s">
        <v>3</v>
      </c>
      <c r="E22" s="1"/>
    </row>
    <row r="23" spans="1:5" x14ac:dyDescent="0.25">
      <c r="A23" s="1"/>
      <c r="B23" s="33" t="s">
        <v>140</v>
      </c>
      <c r="C23" s="12">
        <f>SUM(C14,C16,C18,C20,C22)</f>
        <v>164579860.72775328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R66jJGtMgqJPy+lCrrO+1L5p9jHwa97gGjziDB9g6u44JBGSOnPmb39qQNaEXiHzzmynS/z4ztoc9uSShQXJIw==" saltValue="bnD1XQQoVicF3uF/5yA9Y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204</v>
      </c>
      <c r="C3" s="110"/>
      <c r="D3" s="110"/>
      <c r="E3" s="1"/>
      <c r="F3" s="1"/>
    </row>
    <row r="4" spans="1:6" ht="15" customHeight="1" x14ac:dyDescent="0.25">
      <c r="A4" s="1"/>
      <c r="B4" s="110"/>
      <c r="C4" s="110"/>
      <c r="D4" s="110"/>
      <c r="E4" s="1"/>
      <c r="F4" s="1"/>
    </row>
    <row r="5" spans="1:6" x14ac:dyDescent="0.25">
      <c r="A5" s="1"/>
      <c r="B5" s="111" t="s">
        <v>253</v>
      </c>
      <c r="C5" s="111"/>
      <c r="D5" s="111"/>
      <c r="E5" s="1"/>
      <c r="F5" s="1"/>
    </row>
    <row r="6" spans="1:6" x14ac:dyDescent="0.25">
      <c r="A6" s="1"/>
      <c r="B6" s="73"/>
      <c r="C6" s="73"/>
      <c r="D6" s="73"/>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154669037.73486882</v>
      </c>
      <c r="D9" s="8" t="s">
        <v>3</v>
      </c>
      <c r="E9" s="1"/>
      <c r="F9" s="1"/>
    </row>
    <row r="10" spans="1:6" ht="15" customHeight="1" x14ac:dyDescent="0.25">
      <c r="A10" s="1"/>
      <c r="B10" s="26" t="s">
        <v>19</v>
      </c>
      <c r="C10" s="7">
        <f>SUM(C9:C9)*'Fane 15. Nøgletal'!C16</f>
        <v>12497258.2489774</v>
      </c>
      <c r="D10" s="8" t="s">
        <v>3</v>
      </c>
      <c r="E10" s="1"/>
      <c r="F10" s="1"/>
    </row>
    <row r="11" spans="1:6" ht="15" customHeight="1" x14ac:dyDescent="0.25">
      <c r="A11" s="1"/>
      <c r="B11" s="26" t="s">
        <v>10</v>
      </c>
      <c r="C11" s="9">
        <f>-SUM(C9:C10)*'Fane 5. Individuelt eff. krav'!G9</f>
        <v>-1896941.5245677978</v>
      </c>
      <c r="D11" s="8" t="s">
        <v>3</v>
      </c>
      <c r="E11" s="1"/>
      <c r="F11" s="1"/>
    </row>
    <row r="12" spans="1:6" ht="15" customHeight="1" x14ac:dyDescent="0.25">
      <c r="A12" s="1"/>
      <c r="B12" s="26" t="s">
        <v>23</v>
      </c>
      <c r="C12" s="9">
        <f>-'Fane 4.1. Gen. krav - drift'!G69</f>
        <v>-971869.64076173352</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164297484.81851667</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17222536.824042846</v>
      </c>
      <c r="D16" s="11" t="s">
        <v>3</v>
      </c>
      <c r="E16" s="1"/>
      <c r="F16" s="1"/>
    </row>
    <row r="17" spans="1:6" ht="15" customHeight="1" x14ac:dyDescent="0.25">
      <c r="A17" s="1"/>
      <c r="B17" s="33" t="s">
        <v>74</v>
      </c>
      <c r="C17" s="28"/>
      <c r="D17" s="19"/>
      <c r="E17" s="1"/>
      <c r="F17" s="1"/>
    </row>
    <row r="18" spans="1:6" ht="15" customHeight="1" x14ac:dyDescent="0.25">
      <c r="A18" s="1"/>
      <c r="B18" s="82"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0" t="s">
        <v>136</v>
      </c>
      <c r="C22" s="10">
        <f>'Fane 8. Skattesagen'!G16</f>
        <v>-6024166.6666666698</v>
      </c>
      <c r="D22" s="11" t="s">
        <v>3</v>
      </c>
      <c r="E22" s="1"/>
      <c r="F22" s="1"/>
    </row>
    <row r="23" spans="1:6" x14ac:dyDescent="0.25">
      <c r="A23" s="1"/>
      <c r="B23" s="33" t="s">
        <v>209</v>
      </c>
      <c r="C23" s="12">
        <f>SUM(C14,C16,C18,C20,C22)</f>
        <v>175495854.97589287</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N4hj7VuPzrZgbp1YcDgZPK1tUoW4DsKghcvIoOV6+sjs26yaYkJeyKcXypxjQV4HkHnmak1HFC8IbCKlJNEJgg==" saltValue="U96qyttG/t87pK0mWouFX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2" t="s">
        <v>205</v>
      </c>
      <c r="C3" s="112"/>
      <c r="D3" s="112"/>
      <c r="E3" s="1"/>
    </row>
    <row r="4" spans="1:5" x14ac:dyDescent="0.25">
      <c r="A4" s="1"/>
      <c r="B4" s="112"/>
      <c r="C4" s="112"/>
      <c r="D4" s="11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121388250.13443866</v>
      </c>
      <c r="D9" s="8" t="s">
        <v>3</v>
      </c>
      <c r="E9" s="1"/>
    </row>
    <row r="10" spans="1:5" x14ac:dyDescent="0.25">
      <c r="A10" s="1"/>
      <c r="B10" s="88" t="s">
        <v>36</v>
      </c>
      <c r="C10" s="7">
        <v>483128.11200000002</v>
      </c>
      <c r="D10" s="8" t="s">
        <v>3</v>
      </c>
      <c r="E10" s="1"/>
    </row>
    <row r="11" spans="1:5" x14ac:dyDescent="0.25">
      <c r="A11" s="1"/>
      <c r="B11" s="88" t="s">
        <v>37</v>
      </c>
      <c r="C11" s="9">
        <v>4671168.0396000007</v>
      </c>
      <c r="D11" s="8" t="s">
        <v>3</v>
      </c>
      <c r="E11" s="1"/>
    </row>
    <row r="12" spans="1:5" x14ac:dyDescent="0.25">
      <c r="A12" s="1"/>
      <c r="B12" s="88" t="s">
        <v>26</v>
      </c>
      <c r="C12" s="9">
        <v>0</v>
      </c>
      <c r="D12" s="8" t="s">
        <v>3</v>
      </c>
      <c r="E12" s="1"/>
    </row>
    <row r="13" spans="1:5" x14ac:dyDescent="0.25">
      <c r="A13" s="1"/>
      <c r="B13" s="88" t="s">
        <v>25</v>
      </c>
      <c r="C13" s="9">
        <v>0</v>
      </c>
      <c r="D13" s="8" t="s">
        <v>3</v>
      </c>
      <c r="E13" s="1"/>
    </row>
    <row r="14" spans="1:5" x14ac:dyDescent="0.25">
      <c r="A14" s="1"/>
      <c r="B14" s="88" t="s">
        <v>105</v>
      </c>
      <c r="C14" s="9">
        <v>0</v>
      </c>
      <c r="D14" s="8" t="s">
        <v>3</v>
      </c>
      <c r="E14" s="1"/>
    </row>
    <row r="15" spans="1:5" x14ac:dyDescent="0.25">
      <c r="A15" s="1"/>
      <c r="B15" s="88" t="s">
        <v>106</v>
      </c>
      <c r="C15" s="9">
        <v>0</v>
      </c>
      <c r="D15" s="8" t="s">
        <v>3</v>
      </c>
      <c r="E15" s="1"/>
    </row>
    <row r="16" spans="1:5" x14ac:dyDescent="0.25">
      <c r="A16" s="1"/>
      <c r="B16" s="88" t="s">
        <v>19</v>
      </c>
      <c r="C16" s="41">
        <v>584074.16844060761</v>
      </c>
      <c r="D16" s="8" t="s">
        <v>3</v>
      </c>
      <c r="E16" s="1"/>
    </row>
    <row r="17" spans="1:5" x14ac:dyDescent="0.25">
      <c r="A17" s="1"/>
      <c r="B17" s="88" t="s">
        <v>10</v>
      </c>
      <c r="C17" s="41">
        <v>-1887629.3791771578</v>
      </c>
      <c r="D17" s="8" t="s">
        <v>3</v>
      </c>
      <c r="E17" s="1"/>
    </row>
    <row r="18" spans="1:5" x14ac:dyDescent="0.25">
      <c r="A18" s="1"/>
      <c r="B18" s="88" t="s">
        <v>23</v>
      </c>
      <c r="C18" s="41">
        <v>-738959.86814173404</v>
      </c>
      <c r="D18" s="8" t="s">
        <v>3</v>
      </c>
      <c r="E18" s="1"/>
    </row>
    <row r="19" spans="1:5" x14ac:dyDescent="0.25">
      <c r="A19" s="1"/>
      <c r="B19" s="88" t="s">
        <v>24</v>
      </c>
      <c r="C19" s="41">
        <v>-1468814.0985335177</v>
      </c>
      <c r="D19" s="8" t="s">
        <v>3</v>
      </c>
      <c r="E19" s="47"/>
    </row>
    <row r="20" spans="1:5" x14ac:dyDescent="0.25">
      <c r="A20" s="1"/>
      <c r="B20" s="82" t="s">
        <v>21</v>
      </c>
      <c r="C20" s="10">
        <v>123031217.10862687</v>
      </c>
      <c r="D20" s="11" t="s">
        <v>3</v>
      </c>
      <c r="E20" s="1"/>
    </row>
    <row r="21" spans="1:5" x14ac:dyDescent="0.25">
      <c r="A21" s="1"/>
      <c r="B21" s="33" t="s">
        <v>12</v>
      </c>
      <c r="C21" s="28"/>
      <c r="D21" s="19"/>
      <c r="E21" s="1"/>
    </row>
    <row r="22" spans="1:5" x14ac:dyDescent="0.25">
      <c r="A22" s="1"/>
      <c r="B22" s="31" t="s">
        <v>12</v>
      </c>
      <c r="C22" s="10">
        <v>12980474.633340001</v>
      </c>
      <c r="D22" s="11" t="s">
        <v>3</v>
      </c>
      <c r="E22" s="1"/>
    </row>
    <row r="23" spans="1:5" x14ac:dyDescent="0.25">
      <c r="A23" s="1"/>
      <c r="B23" s="33" t="s">
        <v>74</v>
      </c>
      <c r="C23" s="28"/>
      <c r="D23" s="19"/>
      <c r="E23" s="1"/>
    </row>
    <row r="24" spans="1:5" x14ac:dyDescent="0.25">
      <c r="A24" s="1"/>
      <c r="B24" s="82" t="s">
        <v>74</v>
      </c>
      <c r="C24" s="10">
        <v>0</v>
      </c>
      <c r="D24" s="11" t="s">
        <v>3</v>
      </c>
      <c r="E24" s="1"/>
    </row>
    <row r="25" spans="1:5" x14ac:dyDescent="0.25">
      <c r="A25" s="1"/>
      <c r="B25" s="44" t="s">
        <v>73</v>
      </c>
      <c r="C25" s="42"/>
      <c r="D25" s="43"/>
      <c r="E25" s="1"/>
    </row>
    <row r="26" spans="1:5" x14ac:dyDescent="0.25">
      <c r="A26" s="1"/>
      <c r="B26" s="88" t="s">
        <v>158</v>
      </c>
      <c r="C26" s="69">
        <v>2235943.22770224</v>
      </c>
      <c r="D26" s="8" t="s">
        <v>3</v>
      </c>
      <c r="E26" s="1"/>
    </row>
    <row r="27" spans="1:5" x14ac:dyDescent="0.25">
      <c r="A27" s="1"/>
      <c r="B27" s="88" t="s">
        <v>70</v>
      </c>
      <c r="C27" s="69">
        <v>0</v>
      </c>
      <c r="D27" s="8" t="s">
        <v>3</v>
      </c>
      <c r="E27" s="1"/>
    </row>
    <row r="28" spans="1:5" x14ac:dyDescent="0.25">
      <c r="A28" s="1"/>
      <c r="B28" s="88" t="s">
        <v>161</v>
      </c>
      <c r="C28" s="69">
        <v>-77919.087384590719</v>
      </c>
      <c r="D28" s="8" t="s">
        <v>3</v>
      </c>
      <c r="E28" s="1"/>
    </row>
    <row r="29" spans="1:5" x14ac:dyDescent="0.25">
      <c r="A29" s="1"/>
      <c r="B29" s="88" t="s">
        <v>162</v>
      </c>
      <c r="C29" s="69">
        <v>0</v>
      </c>
      <c r="D29" s="8" t="s">
        <v>3</v>
      </c>
      <c r="E29" s="1"/>
    </row>
    <row r="30" spans="1:5" x14ac:dyDescent="0.25">
      <c r="A30" s="1"/>
      <c r="B30" s="70" t="s">
        <v>75</v>
      </c>
      <c r="C30" s="10">
        <v>2158024.1403176491</v>
      </c>
      <c r="D30" s="11" t="s">
        <v>3</v>
      </c>
      <c r="E30" s="1"/>
    </row>
    <row r="31" spans="1:5" x14ac:dyDescent="0.25">
      <c r="A31" s="1"/>
      <c r="B31" s="33" t="s">
        <v>116</v>
      </c>
      <c r="C31" s="28"/>
      <c r="D31" s="19"/>
      <c r="E31" s="1"/>
    </row>
    <row r="32" spans="1:5" x14ac:dyDescent="0.25">
      <c r="A32" s="1"/>
      <c r="B32" s="31" t="s">
        <v>138</v>
      </c>
      <c r="C32" s="10">
        <v>0</v>
      </c>
      <c r="D32" s="11" t="s">
        <v>3</v>
      </c>
      <c r="E32" s="1"/>
    </row>
    <row r="33" spans="1:5" x14ac:dyDescent="0.25">
      <c r="A33" s="1"/>
      <c r="B33" s="33" t="s">
        <v>266</v>
      </c>
      <c r="C33" s="28"/>
      <c r="D33" s="19"/>
      <c r="E33" s="1"/>
    </row>
    <row r="34" spans="1:5" x14ac:dyDescent="0.25">
      <c r="A34" s="1"/>
      <c r="B34" s="31" t="s">
        <v>266</v>
      </c>
      <c r="C34" s="10">
        <v>0</v>
      </c>
      <c r="D34" s="11" t="s">
        <v>3</v>
      </c>
      <c r="E34" s="1"/>
    </row>
    <row r="35" spans="1:5" x14ac:dyDescent="0.25">
      <c r="A35" s="1"/>
      <c r="B35" s="30" t="s">
        <v>135</v>
      </c>
      <c r="C35" s="28"/>
      <c r="D35" s="19"/>
      <c r="E35" s="1"/>
    </row>
    <row r="36" spans="1:5" x14ac:dyDescent="0.25">
      <c r="A36" s="1"/>
      <c r="B36" s="70" t="s">
        <v>136</v>
      </c>
      <c r="C36" s="10">
        <v>-6024166.6666666698</v>
      </c>
      <c r="D36" s="11" t="s">
        <v>3</v>
      </c>
      <c r="E36" s="1"/>
    </row>
    <row r="37" spans="1:5" x14ac:dyDescent="0.25">
      <c r="A37" s="1"/>
      <c r="B37" s="33" t="s">
        <v>267</v>
      </c>
      <c r="C37" s="49">
        <v>132145549.21561785</v>
      </c>
      <c r="D37" s="30" t="s">
        <v>3</v>
      </c>
      <c r="E37" s="1"/>
    </row>
    <row r="38" spans="1:5" ht="30" customHeight="1" x14ac:dyDescent="0.25">
      <c r="A38" s="1"/>
      <c r="B38" s="113" t="s">
        <v>268</v>
      </c>
      <c r="C38" s="113"/>
      <c r="D38" s="113"/>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tpEbBiUZWViLxRDXncNq8lOwExuFzTF/jD+Cao7Mg00kpx5KRokiHJtOuiDyWUnrWb8G0A0x3HFAE/JPuO74tA==" saltValue="inzoXKHK2z/BWX2NvdeoLQ=="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2" t="s">
        <v>91</v>
      </c>
      <c r="C2" s="112"/>
      <c r="D2" s="112"/>
      <c r="E2" s="112"/>
      <c r="F2" s="112"/>
      <c r="G2" s="112"/>
      <c r="H2" s="112"/>
      <c r="I2" s="1"/>
    </row>
    <row r="3" spans="1:9" ht="28.5" customHeight="1" x14ac:dyDescent="0.25">
      <c r="A3" s="1"/>
      <c r="B3" s="112"/>
      <c r="C3" s="112"/>
      <c r="D3" s="112"/>
      <c r="E3" s="112"/>
      <c r="F3" s="112"/>
      <c r="G3" s="112"/>
      <c r="H3" s="112"/>
      <c r="I3" s="1"/>
    </row>
    <row r="4" spans="1:9" x14ac:dyDescent="0.25">
      <c r="A4" s="1"/>
      <c r="B4" s="117" t="s">
        <v>46</v>
      </c>
      <c r="C4" s="118"/>
      <c r="D4" s="118"/>
      <c r="E4" s="118"/>
      <c r="F4" s="118"/>
      <c r="G4" s="118"/>
      <c r="H4" s="119"/>
      <c r="I4" s="1"/>
    </row>
    <row r="5" spans="1:9" x14ac:dyDescent="0.25">
      <c r="A5" s="1"/>
      <c r="B5" s="120" t="s">
        <v>38</v>
      </c>
      <c r="C5" s="121"/>
      <c r="D5" s="121"/>
      <c r="E5" s="121"/>
      <c r="F5" s="122"/>
      <c r="G5" s="63">
        <v>36189667</v>
      </c>
      <c r="H5" s="14" t="s">
        <v>3</v>
      </c>
      <c r="I5" s="1"/>
    </row>
    <row r="6" spans="1:9" x14ac:dyDescent="0.25">
      <c r="A6" s="1"/>
      <c r="B6" s="114" t="s">
        <v>102</v>
      </c>
      <c r="C6" s="115"/>
      <c r="D6" s="115"/>
      <c r="E6" s="115"/>
      <c r="F6" s="116"/>
      <c r="G6" s="66">
        <v>0</v>
      </c>
      <c r="H6" s="14" t="s">
        <v>3</v>
      </c>
      <c r="I6" s="1"/>
    </row>
    <row r="7" spans="1:9" x14ac:dyDescent="0.25">
      <c r="A7" s="1"/>
      <c r="B7" s="120" t="s">
        <v>39</v>
      </c>
      <c r="C7" s="121"/>
      <c r="D7" s="121"/>
      <c r="E7" s="121"/>
      <c r="F7" s="122"/>
      <c r="G7" s="23">
        <f>SUM(G5:G6)*'Fane 15. Nøgletal'!C33</f>
        <v>723793.34</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7" t="s">
        <v>47</v>
      </c>
      <c r="C10" s="118"/>
      <c r="D10" s="118"/>
      <c r="E10" s="118"/>
      <c r="F10" s="118"/>
      <c r="G10" s="118"/>
      <c r="H10" s="119"/>
      <c r="I10" s="1"/>
    </row>
    <row r="11" spans="1:9" x14ac:dyDescent="0.25">
      <c r="A11" s="1"/>
      <c r="B11" s="120" t="s">
        <v>40</v>
      </c>
      <c r="C11" s="121"/>
      <c r="D11" s="121"/>
      <c r="E11" s="121"/>
      <c r="F11" s="122"/>
      <c r="G11" s="23">
        <f>(G5-G7)*(1+'Fane 15. Nøgletal'!C10)</f>
        <v>36086526.449050002</v>
      </c>
      <c r="H11" s="14" t="s">
        <v>3</v>
      </c>
      <c r="I11" s="1"/>
    </row>
    <row r="12" spans="1:9" ht="15" customHeight="1" x14ac:dyDescent="0.25">
      <c r="A12" s="1"/>
      <c r="B12" s="120" t="s">
        <v>103</v>
      </c>
      <c r="C12" s="121"/>
      <c r="D12" s="121"/>
      <c r="E12" s="121"/>
      <c r="F12" s="122"/>
      <c r="G12" s="66">
        <v>-0.30927053183317188</v>
      </c>
      <c r="H12" s="14" t="s">
        <v>3</v>
      </c>
      <c r="I12" s="1"/>
    </row>
    <row r="13" spans="1:9" x14ac:dyDescent="0.25">
      <c r="A13" s="1"/>
      <c r="B13" s="114" t="s">
        <v>100</v>
      </c>
      <c r="C13" s="115"/>
      <c r="D13" s="115"/>
      <c r="E13" s="115"/>
      <c r="F13" s="116"/>
      <c r="G13" s="66">
        <v>0</v>
      </c>
      <c r="H13" s="14" t="s">
        <v>3</v>
      </c>
      <c r="I13" s="1"/>
    </row>
    <row r="14" spans="1:9" x14ac:dyDescent="0.25">
      <c r="A14" s="1"/>
      <c r="B14" s="123" t="s">
        <v>244</v>
      </c>
      <c r="C14" s="124"/>
      <c r="D14" s="124"/>
      <c r="E14" s="124"/>
      <c r="F14" s="125"/>
      <c r="G14" s="66">
        <v>0</v>
      </c>
      <c r="H14" s="14" t="s">
        <v>3</v>
      </c>
      <c r="I14" s="1"/>
    </row>
    <row r="15" spans="1:9" x14ac:dyDescent="0.25">
      <c r="A15" s="1"/>
      <c r="B15" s="120" t="s">
        <v>41</v>
      </c>
      <c r="C15" s="121"/>
      <c r="D15" s="121"/>
      <c r="E15" s="121"/>
      <c r="F15" s="122"/>
      <c r="G15" s="23">
        <f>SUM(G11:G14)*'Fane 15. Nøgletal'!C33</f>
        <v>721730.52279558941</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7" t="s">
        <v>48</v>
      </c>
      <c r="C18" s="118"/>
      <c r="D18" s="118"/>
      <c r="E18" s="118"/>
      <c r="F18" s="118"/>
      <c r="G18" s="118"/>
      <c r="H18" s="119"/>
      <c r="I18" s="1"/>
    </row>
    <row r="19" spans="1:9" x14ac:dyDescent="0.25">
      <c r="A19" s="1"/>
      <c r="B19" s="120" t="s">
        <v>42</v>
      </c>
      <c r="C19" s="121"/>
      <c r="D19" s="121"/>
      <c r="E19" s="121"/>
      <c r="F19" s="122"/>
      <c r="G19" s="23">
        <f>(SUM(G11:G12,G14)-(G15))*(1+'Fane 15. Nøgletal'!C10)</f>
        <v>35983679.540281102</v>
      </c>
      <c r="H19" s="14" t="s">
        <v>3</v>
      </c>
      <c r="I19" s="1"/>
    </row>
    <row r="20" spans="1:9" x14ac:dyDescent="0.25">
      <c r="A20" s="1"/>
      <c r="B20" s="123" t="s">
        <v>245</v>
      </c>
      <c r="C20" s="124"/>
      <c r="D20" s="124"/>
      <c r="E20" s="124"/>
      <c r="F20" s="125"/>
      <c r="G20" s="66">
        <v>0</v>
      </c>
      <c r="H20" s="14" t="s">
        <v>3</v>
      </c>
      <c r="I20" s="1"/>
    </row>
    <row r="21" spans="1:9" x14ac:dyDescent="0.25">
      <c r="A21" s="1"/>
      <c r="B21" s="120" t="s">
        <v>43</v>
      </c>
      <c r="C21" s="121"/>
      <c r="D21" s="121"/>
      <c r="E21" s="121"/>
      <c r="F21" s="122"/>
      <c r="G21" s="23">
        <f>SUM(G19:G20)*'Fane 15. Nøgletal'!C33</f>
        <v>719673.59080562205</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7" t="s">
        <v>49</v>
      </c>
      <c r="C24" s="118"/>
      <c r="D24" s="118"/>
      <c r="E24" s="118"/>
      <c r="F24" s="118"/>
      <c r="G24" s="118"/>
      <c r="H24" s="119"/>
      <c r="I24" s="1"/>
    </row>
    <row r="25" spans="1:9" x14ac:dyDescent="0.25">
      <c r="A25" s="1"/>
      <c r="B25" s="120" t="s">
        <v>44</v>
      </c>
      <c r="C25" s="121"/>
      <c r="D25" s="121"/>
      <c r="E25" s="121"/>
      <c r="F25" s="122"/>
      <c r="G25" s="23">
        <f>(G19+G20-G21)*(1+'Fane 15. Nøgletal'!C12)</f>
        <v>35958706.866680153</v>
      </c>
      <c r="H25" s="14" t="s">
        <v>3</v>
      </c>
      <c r="I25" s="1"/>
    </row>
    <row r="26" spans="1:9" x14ac:dyDescent="0.25">
      <c r="A26" s="1"/>
      <c r="B26" s="123" t="s">
        <v>246</v>
      </c>
      <c r="C26" s="124"/>
      <c r="D26" s="124"/>
      <c r="E26" s="124"/>
      <c r="F26" s="125"/>
      <c r="G26" s="66">
        <v>0</v>
      </c>
      <c r="H26" s="14" t="s">
        <v>3</v>
      </c>
      <c r="I26" s="1"/>
    </row>
    <row r="27" spans="1:9" x14ac:dyDescent="0.25">
      <c r="A27" s="1"/>
      <c r="B27" s="120" t="s">
        <v>45</v>
      </c>
      <c r="C27" s="121"/>
      <c r="D27" s="121"/>
      <c r="E27" s="121"/>
      <c r="F27" s="122"/>
      <c r="G27" s="23">
        <f>(G25+G26)*'Fane 15. Nøgletal'!C33</f>
        <v>719174.13733360311</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7" t="s">
        <v>52</v>
      </c>
      <c r="C30" s="118"/>
      <c r="D30" s="118"/>
      <c r="E30" s="118"/>
      <c r="F30" s="118"/>
      <c r="G30" s="118"/>
      <c r="H30" s="119"/>
      <c r="I30" s="1"/>
    </row>
    <row r="31" spans="1:9" x14ac:dyDescent="0.25">
      <c r="A31" s="1"/>
      <c r="B31" s="120" t="s">
        <v>53</v>
      </c>
      <c r="C31" s="121"/>
      <c r="D31" s="121"/>
      <c r="E31" s="121"/>
      <c r="F31" s="122"/>
      <c r="G31" s="23">
        <f>(G25+G26-G27)*(1+'Fane 15. Nøgletal'!C12)</f>
        <v>35933751.524114683</v>
      </c>
      <c r="H31" s="14" t="s">
        <v>3</v>
      </c>
      <c r="I31" s="1"/>
    </row>
    <row r="32" spans="1:9" x14ac:dyDescent="0.25">
      <c r="A32" s="1"/>
      <c r="B32" s="120" t="s">
        <v>243</v>
      </c>
      <c r="C32" s="121"/>
      <c r="D32" s="121"/>
      <c r="E32" s="121"/>
      <c r="F32" s="122"/>
      <c r="G32" s="63">
        <v>729532.05061967997</v>
      </c>
      <c r="H32" s="14" t="s">
        <v>3</v>
      </c>
      <c r="I32" s="1"/>
    </row>
    <row r="33" spans="1:9" x14ac:dyDescent="0.25">
      <c r="A33" s="1"/>
      <c r="B33" s="120" t="s">
        <v>54</v>
      </c>
      <c r="C33" s="121"/>
      <c r="D33" s="121"/>
      <c r="E33" s="121"/>
      <c r="F33" s="122"/>
      <c r="G33" s="23">
        <f>(G31+G32)*'Fane 15. Nøgletal'!C33</f>
        <v>733265.67149468721</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7" t="s">
        <v>126</v>
      </c>
      <c r="C36" s="118"/>
      <c r="D36" s="118"/>
      <c r="E36" s="118"/>
      <c r="F36" s="118"/>
      <c r="G36" s="118"/>
      <c r="H36" s="119"/>
      <c r="I36" s="1"/>
    </row>
    <row r="37" spans="1:9" x14ac:dyDescent="0.25">
      <c r="A37" s="1"/>
      <c r="B37" s="120" t="s">
        <v>68</v>
      </c>
      <c r="C37" s="121"/>
      <c r="D37" s="121"/>
      <c r="E37" s="121"/>
      <c r="F37" s="122"/>
      <c r="G37" s="23">
        <f>(G31+G32-G33)*(1+'Fane 15. Nøgletal'!C14)</f>
        <v>36048586.962320365</v>
      </c>
      <c r="H37" s="14" t="s">
        <v>3</v>
      </c>
      <c r="I37" s="1"/>
    </row>
    <row r="38" spans="1:9" x14ac:dyDescent="0.25">
      <c r="A38" s="1"/>
      <c r="B38" s="120" t="s">
        <v>242</v>
      </c>
      <c r="C38" s="121"/>
      <c r="D38" s="121"/>
      <c r="E38" s="121"/>
      <c r="F38" s="122"/>
      <c r="G38" s="63">
        <v>1020580.6359314201</v>
      </c>
      <c r="H38" s="14" t="s">
        <v>3</v>
      </c>
      <c r="I38" s="1"/>
    </row>
    <row r="39" spans="1:9" x14ac:dyDescent="0.25">
      <c r="A39" s="1"/>
      <c r="B39" s="120" t="s">
        <v>128</v>
      </c>
      <c r="C39" s="121"/>
      <c r="D39" s="121"/>
      <c r="E39" s="121"/>
      <c r="F39" s="122"/>
      <c r="G39" s="23">
        <f>(G37+G38)*'Fane 15. Nøgletal'!C33</f>
        <v>741383.35196503566</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7" t="s">
        <v>127</v>
      </c>
      <c r="C42" s="118"/>
      <c r="D42" s="118"/>
      <c r="E42" s="118"/>
      <c r="F42" s="118"/>
      <c r="G42" s="118"/>
      <c r="H42" s="119"/>
      <c r="I42" s="1"/>
    </row>
    <row r="43" spans="1:9" x14ac:dyDescent="0.25">
      <c r="A43" s="1"/>
      <c r="B43" s="120" t="s">
        <v>155</v>
      </c>
      <c r="C43" s="121"/>
      <c r="D43" s="121"/>
      <c r="E43" s="121"/>
      <c r="F43" s="122"/>
      <c r="G43" s="23">
        <f>(G37+G38-G39)*(1+'Fane 15. Nøgletal'!C14)</f>
        <v>36447665.934299499</v>
      </c>
      <c r="H43" s="14" t="s">
        <v>3</v>
      </c>
      <c r="I43" s="1"/>
    </row>
    <row r="44" spans="1:9" x14ac:dyDescent="0.25">
      <c r="A44" s="1"/>
      <c r="B44" s="126" t="s">
        <v>157</v>
      </c>
      <c r="C44" s="127"/>
      <c r="D44" s="127"/>
      <c r="E44" s="127"/>
      <c r="F44" s="128"/>
      <c r="G44" s="45">
        <v>500327.47278720007</v>
      </c>
      <c r="H44" s="14" t="s">
        <v>3</v>
      </c>
      <c r="I44" s="1"/>
    </row>
    <row r="45" spans="1:9" x14ac:dyDescent="0.25">
      <c r="A45" s="1"/>
      <c r="B45" s="120" t="s">
        <v>129</v>
      </c>
      <c r="C45" s="121"/>
      <c r="D45" s="121"/>
      <c r="E45" s="121"/>
      <c r="F45" s="122"/>
      <c r="G45" s="23">
        <f>SUM(G43:G44)*'Fane 15. Nøgletal'!C33</f>
        <v>738959.86814173404</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7" t="s">
        <v>192</v>
      </c>
      <c r="C51" s="118"/>
      <c r="D51" s="118"/>
      <c r="E51" s="118"/>
      <c r="F51" s="118"/>
      <c r="G51" s="118"/>
      <c r="H51" s="119"/>
      <c r="I51" s="1"/>
    </row>
    <row r="52" spans="1:9" x14ac:dyDescent="0.25">
      <c r="A52" s="1"/>
      <c r="B52" s="120" t="s">
        <v>154</v>
      </c>
      <c r="C52" s="121"/>
      <c r="D52" s="121"/>
      <c r="E52" s="121"/>
      <c r="F52" s="122"/>
      <c r="G52" s="23">
        <f>(G43+G44-G45)*(1+'Fane 15. Nøgletal'!C16)</f>
        <v>39134723.448891722</v>
      </c>
      <c r="H52" s="14" t="s">
        <v>3</v>
      </c>
      <c r="I52" s="1"/>
    </row>
    <row r="53" spans="1:9" x14ac:dyDescent="0.25">
      <c r="A53" s="1"/>
      <c r="B53" s="78" t="s">
        <v>194</v>
      </c>
      <c r="C53" s="79"/>
      <c r="D53" s="79"/>
      <c r="E53" s="79"/>
      <c r="F53" s="80"/>
      <c r="G53" s="23">
        <f>('Fane 2.1. Økonomisk ramme 2024'!C10+'Fane 2.1. Økonomisk ramme 2024'!C12+'Fane 2.1. Økonomisk ramme 2024'!C14)*(1+'Fane 15. Nøgletal'!C16)</f>
        <v>1759671.3195532798</v>
      </c>
      <c r="H53" s="14" t="s">
        <v>3</v>
      </c>
      <c r="I53" s="1"/>
    </row>
    <row r="54" spans="1:9" x14ac:dyDescent="0.25">
      <c r="A54" s="1"/>
      <c r="B54" s="120" t="s">
        <v>210</v>
      </c>
      <c r="C54" s="121"/>
      <c r="D54" s="121"/>
      <c r="E54" s="121"/>
      <c r="F54" s="122"/>
      <c r="G54" s="23">
        <f>(G52)*'Fane 15. Nøgletal'!C33+(G53)*'Fane 15. Nøgletal'!C33</f>
        <v>817887.89536890003</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7" t="s">
        <v>193</v>
      </c>
      <c r="C57" s="118"/>
      <c r="D57" s="118"/>
      <c r="E57" s="118"/>
      <c r="F57" s="118"/>
      <c r="G57" s="118"/>
      <c r="H57" s="119"/>
      <c r="I57" s="1"/>
    </row>
    <row r="58" spans="1:9" x14ac:dyDescent="0.25">
      <c r="A58" s="1"/>
      <c r="B58" s="78" t="s">
        <v>212</v>
      </c>
      <c r="C58" s="79"/>
      <c r="D58" s="79"/>
      <c r="E58" s="79"/>
      <c r="F58" s="80"/>
      <c r="G58" s="23">
        <f>(G52+G53-G54)*(1+'Fane 15. Nøgletal'!C16)</f>
        <v>43314688.628420651</v>
      </c>
      <c r="H58" s="14" t="s">
        <v>3</v>
      </c>
      <c r="I58" s="1"/>
    </row>
    <row r="59" spans="1:9" x14ac:dyDescent="0.25">
      <c r="A59" s="1"/>
      <c r="B59" s="78" t="s">
        <v>211</v>
      </c>
      <c r="C59" s="79"/>
      <c r="D59" s="79"/>
      <c r="E59" s="79"/>
      <c r="F59" s="80"/>
      <c r="G59" s="23">
        <f>(G58)*'Fane 15. Nøgletal'!C33</f>
        <v>866293.77256841306</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7" t="s">
        <v>256</v>
      </c>
      <c r="C62" s="118"/>
      <c r="D62" s="118"/>
      <c r="E62" s="118"/>
      <c r="F62" s="118"/>
      <c r="G62" s="118"/>
      <c r="H62" s="119"/>
      <c r="I62" s="1"/>
    </row>
    <row r="63" spans="1:9" x14ac:dyDescent="0.25">
      <c r="A63" s="1"/>
      <c r="B63" s="78" t="s">
        <v>213</v>
      </c>
      <c r="C63" s="79"/>
      <c r="D63" s="79"/>
      <c r="E63" s="79"/>
      <c r="F63" s="80"/>
      <c r="G63" s="23">
        <f>(G58-G59)*(1+'Fane 15. Nøgletal'!C16)</f>
        <v>45878225.160205096</v>
      </c>
      <c r="H63" s="14" t="s">
        <v>3</v>
      </c>
      <c r="I63" s="1"/>
    </row>
    <row r="64" spans="1:9" x14ac:dyDescent="0.25">
      <c r="A64" s="1"/>
      <c r="B64" s="78" t="s">
        <v>214</v>
      </c>
      <c r="C64" s="79"/>
      <c r="D64" s="79"/>
      <c r="E64" s="79"/>
      <c r="F64" s="80"/>
      <c r="G64" s="23">
        <f>(G63)*'Fane 15. Nøgletal'!C33</f>
        <v>917564.50320410193</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7" t="s">
        <v>257</v>
      </c>
      <c r="C67" s="118"/>
      <c r="D67" s="118"/>
      <c r="E67" s="118"/>
      <c r="F67" s="118"/>
      <c r="G67" s="118"/>
      <c r="H67" s="119"/>
      <c r="I67" s="1"/>
    </row>
    <row r="68" spans="1:9" x14ac:dyDescent="0.25">
      <c r="A68" s="1"/>
      <c r="B68" s="78" t="s">
        <v>213</v>
      </c>
      <c r="C68" s="79"/>
      <c r="D68" s="79"/>
      <c r="E68" s="79"/>
      <c r="F68" s="80"/>
      <c r="G68" s="23">
        <f>(G63-G64)*(1+'Fane 15. Nøgletal'!C16)</f>
        <v>48593482.038086675</v>
      </c>
      <c r="H68" s="14" t="s">
        <v>3</v>
      </c>
      <c r="I68" s="1"/>
    </row>
    <row r="69" spans="1:9" x14ac:dyDescent="0.25">
      <c r="A69" s="1"/>
      <c r="B69" s="78" t="s">
        <v>214</v>
      </c>
      <c r="C69" s="79"/>
      <c r="D69" s="79"/>
      <c r="E69" s="79"/>
      <c r="F69" s="80"/>
      <c r="G69" s="23">
        <f>(G68)*'Fane 15. Nøgletal'!C33</f>
        <v>971869.64076173352</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8ObB6oi/Gc53xefSQJeZhiaAqXFS01j6rK9Ea9VkIRxMDTR6UKDtohqHi4CHuDAtAHzB0YuRTk0YcY21sk0Og==" saltValue="axqqC7NQ8+lzztOYuGndlg==" spinCount="100000" sheet="1" objects="1" scenarios="1"/>
  <mergeCells count="37">
    <mergeCell ref="B67:H67"/>
    <mergeCell ref="B54:F54"/>
    <mergeCell ref="B37:F37"/>
    <mergeCell ref="B32:F32"/>
    <mergeCell ref="B33:F33"/>
    <mergeCell ref="B42:H42"/>
    <mergeCell ref="B43:F43"/>
    <mergeCell ref="B45:F45"/>
    <mergeCell ref="B38:F38"/>
    <mergeCell ref="B39:F39"/>
    <mergeCell ref="B44:F4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29" t="s">
        <v>92</v>
      </c>
      <c r="C1" s="129"/>
      <c r="D1" s="129"/>
      <c r="E1" s="129"/>
      <c r="F1" s="129"/>
      <c r="G1" s="129"/>
      <c r="H1" s="129"/>
      <c r="I1" s="1"/>
    </row>
    <row r="2" spans="1:9" ht="15" customHeight="1" x14ac:dyDescent="0.25">
      <c r="A2" s="1"/>
      <c r="B2" s="129"/>
      <c r="C2" s="129"/>
      <c r="D2" s="129"/>
      <c r="E2" s="129"/>
      <c r="F2" s="129"/>
      <c r="G2" s="129"/>
      <c r="H2" s="129"/>
      <c r="I2" s="1"/>
    </row>
    <row r="3" spans="1:9" ht="15" customHeight="1" x14ac:dyDescent="0.25">
      <c r="A3" s="1"/>
      <c r="B3" s="130"/>
      <c r="C3" s="130"/>
      <c r="D3" s="130"/>
      <c r="E3" s="130"/>
      <c r="F3" s="130"/>
      <c r="G3" s="130"/>
      <c r="H3" s="130"/>
      <c r="I3" s="1"/>
    </row>
    <row r="4" spans="1:9" x14ac:dyDescent="0.25">
      <c r="A4" s="1"/>
      <c r="B4" s="117" t="s">
        <v>50</v>
      </c>
      <c r="C4" s="118"/>
      <c r="D4" s="118"/>
      <c r="E4" s="118"/>
      <c r="F4" s="118"/>
      <c r="G4" s="118"/>
      <c r="H4" s="119"/>
      <c r="I4" s="1"/>
    </row>
    <row r="5" spans="1:9" x14ac:dyDescent="0.25">
      <c r="A5" s="1"/>
      <c r="B5" s="120" t="s">
        <v>55</v>
      </c>
      <c r="C5" s="121"/>
      <c r="D5" s="121"/>
      <c r="E5" s="121"/>
      <c r="F5" s="122"/>
      <c r="G5" s="63">
        <v>93088743</v>
      </c>
      <c r="H5" s="14" t="s">
        <v>3</v>
      </c>
      <c r="I5" s="1"/>
    </row>
    <row r="6" spans="1:9" x14ac:dyDescent="0.25">
      <c r="A6" s="1"/>
      <c r="B6" s="120" t="s">
        <v>51</v>
      </c>
      <c r="C6" s="121"/>
      <c r="D6" s="121"/>
      <c r="E6" s="121"/>
      <c r="F6" s="122"/>
      <c r="G6" s="23">
        <f>G5*'Fane 15. Nøgletal'!C21</f>
        <v>847107.56130000006</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7" t="s">
        <v>56</v>
      </c>
      <c r="C9" s="118"/>
      <c r="D9" s="118"/>
      <c r="E9" s="118"/>
      <c r="F9" s="118"/>
      <c r="G9" s="118"/>
      <c r="H9" s="119"/>
      <c r="I9" s="1"/>
    </row>
    <row r="10" spans="1:9" x14ac:dyDescent="0.25">
      <c r="A10" s="1"/>
      <c r="B10" s="120" t="s">
        <v>57</v>
      </c>
      <c r="C10" s="121"/>
      <c r="D10" s="121"/>
      <c r="E10" s="121"/>
      <c r="F10" s="122"/>
      <c r="G10" s="23">
        <f>(G5-G6)*(1+'Fane 15. Nøgletal'!C10)</f>
        <v>93855864.058877259</v>
      </c>
      <c r="H10" s="14" t="s">
        <v>3</v>
      </c>
      <c r="I10" s="1"/>
    </row>
    <row r="11" spans="1:9" x14ac:dyDescent="0.25">
      <c r="A11" s="1"/>
      <c r="B11" s="120" t="s">
        <v>104</v>
      </c>
      <c r="C11" s="121"/>
      <c r="D11" s="121"/>
      <c r="E11" s="121"/>
      <c r="F11" s="122"/>
      <c r="G11" s="63">
        <v>632149.08404445858</v>
      </c>
      <c r="H11" s="14" t="s">
        <v>3</v>
      </c>
      <c r="I11" s="1"/>
    </row>
    <row r="12" spans="1:9" x14ac:dyDescent="0.25">
      <c r="A12" s="1"/>
      <c r="B12" s="123" t="s">
        <v>247</v>
      </c>
      <c r="C12" s="124"/>
      <c r="D12" s="124"/>
      <c r="E12" s="124"/>
      <c r="F12" s="125"/>
      <c r="G12" s="66">
        <v>0</v>
      </c>
      <c r="H12" s="14" t="s">
        <v>3</v>
      </c>
      <c r="I12" s="1"/>
    </row>
    <row r="13" spans="1:9" x14ac:dyDescent="0.25">
      <c r="A13" s="1"/>
      <c r="B13" s="120" t="s">
        <v>58</v>
      </c>
      <c r="C13" s="121"/>
      <c r="D13" s="121"/>
      <c r="E13" s="121"/>
      <c r="F13" s="122"/>
      <c r="G13" s="23">
        <f>SUM(G10:G12)*'Fane 15. Nøgletal'!C22</f>
        <v>1672437.8326297144</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7" t="s">
        <v>59</v>
      </c>
      <c r="C16" s="118"/>
      <c r="D16" s="118"/>
      <c r="E16" s="118"/>
      <c r="F16" s="118"/>
      <c r="G16" s="118"/>
      <c r="H16" s="119"/>
      <c r="I16" s="1"/>
    </row>
    <row r="17" spans="1:9" x14ac:dyDescent="0.25">
      <c r="A17" s="1"/>
      <c r="B17" s="120" t="s">
        <v>60</v>
      </c>
      <c r="C17" s="121"/>
      <c r="D17" s="121"/>
      <c r="E17" s="121"/>
      <c r="F17" s="122"/>
      <c r="G17" s="23">
        <f>(SUM(G10:G12)-G13)*(1+'Fane 15. Nøgletal'!C10)</f>
        <v>94439847.878222123</v>
      </c>
      <c r="H17" s="14" t="s">
        <v>3</v>
      </c>
      <c r="I17" s="1"/>
    </row>
    <row r="18" spans="1:9" x14ac:dyDescent="0.25">
      <c r="A18" s="1"/>
      <c r="B18" s="123" t="s">
        <v>248</v>
      </c>
      <c r="C18" s="124"/>
      <c r="D18" s="124"/>
      <c r="E18" s="124"/>
      <c r="F18" s="125"/>
      <c r="G18" s="63">
        <v>479113.57891080988</v>
      </c>
      <c r="H18" s="14" t="s">
        <v>3</v>
      </c>
      <c r="I18" s="1"/>
    </row>
    <row r="19" spans="1:9" x14ac:dyDescent="0.25">
      <c r="A19" s="1"/>
      <c r="B19" s="120" t="s">
        <v>61</v>
      </c>
      <c r="C19" s="121"/>
      <c r="D19" s="121"/>
      <c r="E19" s="121"/>
      <c r="F19" s="122"/>
      <c r="G19" s="23">
        <f>G17*'Fane 15. Nøgletal'!C22+G18*'Fane 15. Nøgletal'!C23</f>
        <v>1675753.5955810559</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7" t="s">
        <v>62</v>
      </c>
      <c r="C22" s="118"/>
      <c r="D22" s="118"/>
      <c r="E22" s="118"/>
      <c r="F22" s="118"/>
      <c r="G22" s="118"/>
      <c r="H22" s="119"/>
      <c r="I22" s="1"/>
    </row>
    <row r="23" spans="1:9" x14ac:dyDescent="0.25">
      <c r="A23" s="1"/>
      <c r="B23" s="120" t="s">
        <v>63</v>
      </c>
      <c r="C23" s="121"/>
      <c r="D23" s="121"/>
      <c r="E23" s="121"/>
      <c r="F23" s="122"/>
      <c r="G23" s="23">
        <f>(G17+G18-G19)*(1+'Fane 15. Nøgletal'!C12)</f>
        <v>95080099.056424454</v>
      </c>
      <c r="H23" s="14" t="s">
        <v>3</v>
      </c>
      <c r="I23" s="1"/>
    </row>
    <row r="24" spans="1:9" x14ac:dyDescent="0.25">
      <c r="A24" s="1"/>
      <c r="B24" s="123" t="s">
        <v>249</v>
      </c>
      <c r="C24" s="124"/>
      <c r="D24" s="124"/>
      <c r="E24" s="124"/>
      <c r="F24" s="125"/>
      <c r="G24" s="63">
        <v>275658.22053990001</v>
      </c>
      <c r="H24" s="14" t="s">
        <v>3</v>
      </c>
      <c r="I24" s="1"/>
    </row>
    <row r="25" spans="1:9" x14ac:dyDescent="0.25">
      <c r="A25" s="1"/>
      <c r="B25" s="120" t="s">
        <v>64</v>
      </c>
      <c r="C25" s="121"/>
      <c r="D25" s="121"/>
      <c r="E25" s="121"/>
      <c r="F25" s="122"/>
      <c r="G25" s="23">
        <f>(G23+G24)*'Fane 15. Nøgletal'!C24</f>
        <v>2708103.5066657877</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7" t="s">
        <v>65</v>
      </c>
      <c r="C28" s="118"/>
      <c r="D28" s="118"/>
      <c r="E28" s="118"/>
      <c r="F28" s="118"/>
      <c r="G28" s="118"/>
      <c r="H28" s="119"/>
      <c r="I28" s="1"/>
    </row>
    <row r="29" spans="1:9" x14ac:dyDescent="0.25">
      <c r="A29" s="1"/>
      <c r="B29" s="120" t="s">
        <v>66</v>
      </c>
      <c r="C29" s="121"/>
      <c r="D29" s="121"/>
      <c r="E29" s="121"/>
      <c r="F29" s="122"/>
      <c r="G29" s="23">
        <f>(G23+G24-G25)*(1+'Fane 15. Nøgletal'!C12)</f>
        <v>94472812.549573451</v>
      </c>
      <c r="H29" s="14" t="s">
        <v>3</v>
      </c>
      <c r="I29" s="1"/>
    </row>
    <row r="30" spans="1:9" x14ac:dyDescent="0.25">
      <c r="A30" s="1"/>
      <c r="B30" s="120" t="s">
        <v>250</v>
      </c>
      <c r="C30" s="121"/>
      <c r="D30" s="121"/>
      <c r="E30" s="121"/>
      <c r="F30" s="122"/>
      <c r="G30" s="63">
        <v>4439700.0284464797</v>
      </c>
      <c r="H30" s="14" t="s">
        <v>3</v>
      </c>
      <c r="I30" s="1"/>
    </row>
    <row r="31" spans="1:9" x14ac:dyDescent="0.25">
      <c r="A31" s="1"/>
      <c r="B31" s="120" t="s">
        <v>67</v>
      </c>
      <c r="C31" s="121"/>
      <c r="D31" s="121"/>
      <c r="E31" s="121"/>
      <c r="F31" s="122"/>
      <c r="G31" s="23">
        <f>G29*'Fane 15. Nøgletal'!C24+G30*'Fane 15. Nøgletal'!C25</f>
        <v>2805119.6271901648</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7" t="s">
        <v>130</v>
      </c>
      <c r="C34" s="118"/>
      <c r="D34" s="118"/>
      <c r="E34" s="118"/>
      <c r="F34" s="118"/>
      <c r="G34" s="118"/>
      <c r="H34" s="119"/>
      <c r="I34" s="1"/>
    </row>
    <row r="35" spans="1:9" x14ac:dyDescent="0.25">
      <c r="A35" s="1"/>
      <c r="B35" s="120" t="s">
        <v>215</v>
      </c>
      <c r="C35" s="121"/>
      <c r="D35" s="121"/>
      <c r="E35" s="121"/>
      <c r="F35" s="122"/>
      <c r="G35" s="23">
        <f>(G29+G30-G31)*(1+'Fane 15. Nøgletal'!C14)</f>
        <v>96424547.347567514</v>
      </c>
      <c r="H35" s="14" t="s">
        <v>3</v>
      </c>
      <c r="I35" s="1"/>
    </row>
    <row r="36" spans="1:9" x14ac:dyDescent="0.25">
      <c r="A36" s="1"/>
      <c r="B36" s="120" t="s">
        <v>251</v>
      </c>
      <c r="C36" s="121"/>
      <c r="D36" s="121"/>
      <c r="E36" s="121"/>
      <c r="F36" s="122"/>
      <c r="G36" s="63">
        <v>3979195.2580451807</v>
      </c>
      <c r="H36" s="14" t="s">
        <v>3</v>
      </c>
      <c r="I36" s="1"/>
    </row>
    <row r="37" spans="1:9" x14ac:dyDescent="0.25">
      <c r="A37" s="1"/>
      <c r="B37" s="120" t="s">
        <v>131</v>
      </c>
      <c r="C37" s="121"/>
      <c r="D37" s="121"/>
      <c r="E37" s="121"/>
      <c r="F37" s="122"/>
      <c r="G37" s="23">
        <f>(G35+G36)*'Fane 15. Nøgletal'!C26</f>
        <v>1485975.390563068</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7" t="s">
        <v>151</v>
      </c>
      <c r="C40" s="118"/>
      <c r="D40" s="118"/>
      <c r="E40" s="118"/>
      <c r="F40" s="118"/>
      <c r="G40" s="118"/>
      <c r="H40" s="119"/>
      <c r="I40" s="1"/>
    </row>
    <row r="41" spans="1:9" x14ac:dyDescent="0.25">
      <c r="A41" s="1"/>
      <c r="B41" s="120" t="s">
        <v>216</v>
      </c>
      <c r="C41" s="121"/>
      <c r="D41" s="121"/>
      <c r="E41" s="121"/>
      <c r="F41" s="122"/>
      <c r="G41" s="23">
        <f>(G35+G36-G37)*(1+'Fane 15. Nøgletal'!C14)</f>
        <v>99244195.846859291</v>
      </c>
      <c r="H41" s="14" t="s">
        <v>3</v>
      </c>
      <c r="I41" s="1"/>
    </row>
    <row r="42" spans="1:9" x14ac:dyDescent="0.25">
      <c r="A42" s="1"/>
      <c r="B42" s="40" t="s">
        <v>156</v>
      </c>
      <c r="C42" s="79"/>
      <c r="D42" s="79"/>
      <c r="E42" s="79"/>
      <c r="F42" s="80"/>
      <c r="G42" s="23">
        <v>4837461.621809761</v>
      </c>
      <c r="H42" s="14" t="s">
        <v>3</v>
      </c>
      <c r="I42" s="1"/>
    </row>
    <row r="43" spans="1:9" x14ac:dyDescent="0.25">
      <c r="A43" s="1"/>
      <c r="B43" s="120" t="s">
        <v>132</v>
      </c>
      <c r="C43" s="121"/>
      <c r="D43" s="121"/>
      <c r="E43" s="121"/>
      <c r="F43" s="122"/>
      <c r="G43" s="23">
        <f>(G41)*'Fane 15. Nøgletal'!C26+G42*'Fane 15. Nøgletal'!C27</f>
        <v>1468814.0985335177</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7" t="s">
        <v>259</v>
      </c>
      <c r="C52" s="118"/>
      <c r="D52" s="118"/>
      <c r="E52" s="118"/>
      <c r="F52" s="118"/>
      <c r="G52" s="118"/>
      <c r="H52" s="119"/>
      <c r="I52" s="1"/>
    </row>
    <row r="53" spans="1:9" x14ac:dyDescent="0.25">
      <c r="A53" s="1"/>
      <c r="B53" s="120" t="s">
        <v>217</v>
      </c>
      <c r="C53" s="121"/>
      <c r="D53" s="121"/>
      <c r="E53" s="121"/>
      <c r="F53" s="122"/>
      <c r="G53" s="23">
        <f>(G41+G42-G43)*(1+'Fane 15. Nøgletal'!C16)</f>
        <v>110903961.1144425</v>
      </c>
      <c r="H53" s="14" t="s">
        <v>3</v>
      </c>
      <c r="I53" s="1"/>
    </row>
    <row r="54" spans="1:9" x14ac:dyDescent="0.25">
      <c r="A54" s="1"/>
      <c r="B54" s="78" t="s">
        <v>195</v>
      </c>
      <c r="C54" s="79"/>
      <c r="D54" s="79"/>
      <c r="E54" s="79"/>
      <c r="F54" s="80"/>
      <c r="G54" s="23">
        <f>('Fane 2.1. Økonomisk ramme 2024'!C11+'Fane 2.1. Økonomisk ramme 2024'!C13+'Fane 2.1. Økonomisk ramme 2024'!C15)*(1+'Fane 15. Nøgletal'!C16)</f>
        <v>4747701.1599135995</v>
      </c>
      <c r="H54" s="14" t="s">
        <v>3</v>
      </c>
      <c r="I54" s="1"/>
    </row>
    <row r="55" spans="1:9" x14ac:dyDescent="0.25">
      <c r="A55" s="1"/>
      <c r="B55" s="120" t="s">
        <v>218</v>
      </c>
      <c r="C55" s="121"/>
      <c r="D55" s="121"/>
      <c r="E55" s="121"/>
      <c r="F55" s="122"/>
      <c r="G55" s="66">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7" t="s">
        <v>258</v>
      </c>
      <c r="C58" s="118"/>
      <c r="D58" s="118"/>
      <c r="E58" s="118"/>
      <c r="F58" s="118"/>
      <c r="G58" s="118"/>
      <c r="H58" s="119"/>
      <c r="I58" s="1"/>
    </row>
    <row r="59" spans="1:9" x14ac:dyDescent="0.25">
      <c r="A59" s="1"/>
      <c r="B59" s="120" t="s">
        <v>219</v>
      </c>
      <c r="C59" s="121"/>
      <c r="D59" s="121"/>
      <c r="E59" s="121"/>
      <c r="F59" s="122"/>
      <c r="G59" s="23">
        <f>(G53+G54-G55)*(1+'Fane 15. Nøgletal'!C16)</f>
        <v>124996316.58612406</v>
      </c>
      <c r="H59" s="14" t="s">
        <v>3</v>
      </c>
      <c r="I59" s="1"/>
    </row>
    <row r="60" spans="1:9" x14ac:dyDescent="0.25">
      <c r="A60" s="1"/>
      <c r="B60" s="120" t="s">
        <v>220</v>
      </c>
      <c r="C60" s="121"/>
      <c r="D60" s="121"/>
      <c r="E60" s="121"/>
      <c r="F60" s="122"/>
      <c r="G60" s="66">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7" t="s">
        <v>141</v>
      </c>
      <c r="C63" s="118"/>
      <c r="D63" s="118"/>
      <c r="E63" s="118"/>
      <c r="F63" s="118"/>
      <c r="G63" s="118"/>
      <c r="H63" s="119"/>
      <c r="I63" s="1"/>
    </row>
    <row r="64" spans="1:9" x14ac:dyDescent="0.25">
      <c r="A64" s="1"/>
      <c r="B64" s="120" t="s">
        <v>221</v>
      </c>
      <c r="C64" s="121"/>
      <c r="D64" s="121"/>
      <c r="E64" s="121"/>
      <c r="F64" s="122"/>
      <c r="G64" s="23">
        <f>(G59-G60)*(1+'Fane 15. Nøgletal'!C16)</f>
        <v>135096018.96628287</v>
      </c>
      <c r="H64" s="14" t="s">
        <v>3</v>
      </c>
      <c r="I64" s="1"/>
    </row>
    <row r="65" spans="1:9" x14ac:dyDescent="0.25">
      <c r="A65" s="1"/>
      <c r="B65" s="120" t="s">
        <v>222</v>
      </c>
      <c r="C65" s="121"/>
      <c r="D65" s="121"/>
      <c r="E65" s="121"/>
      <c r="F65" s="122"/>
      <c r="G65" s="66">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7" t="s">
        <v>223</v>
      </c>
      <c r="C68" s="118"/>
      <c r="D68" s="118"/>
      <c r="E68" s="118"/>
      <c r="F68" s="118"/>
      <c r="G68" s="118"/>
      <c r="H68" s="119"/>
      <c r="I68" s="1"/>
    </row>
    <row r="69" spans="1:9" x14ac:dyDescent="0.25">
      <c r="A69" s="1"/>
      <c r="B69" s="120" t="s">
        <v>221</v>
      </c>
      <c r="C69" s="121"/>
      <c r="D69" s="121"/>
      <c r="E69" s="121"/>
      <c r="F69" s="122"/>
      <c r="G69" s="23">
        <f>(G64-G65)*(1+'Fane 15. Nøgletal'!C16)</f>
        <v>146011777.29875854</v>
      </c>
      <c r="H69" s="14" t="s">
        <v>3</v>
      </c>
      <c r="I69" s="1"/>
    </row>
    <row r="70" spans="1:9" x14ac:dyDescent="0.25">
      <c r="A70" s="1"/>
      <c r="B70" s="120" t="s">
        <v>222</v>
      </c>
      <c r="C70" s="121"/>
      <c r="D70" s="121"/>
      <c r="E70" s="121"/>
      <c r="F70" s="122"/>
      <c r="G70" s="66">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5F9rP6g06CBvjUo50of6wUoYhjoEE0inAiQ2NonRwzjGKEn3Vuer1Cudy7zwkbHqraOelOPZ2CVu9MVin6m1oQ==" saltValue="bJoey1RpaCAyAE6ypv17DQ==" spinCount="100000" sheet="1" objects="1" scenarios="1"/>
  <mergeCells count="40">
    <mergeCell ref="B58:H58"/>
    <mergeCell ref="B59:F59"/>
    <mergeCell ref="B60:F60"/>
    <mergeCell ref="B41:F41"/>
    <mergeCell ref="B37:F37"/>
    <mergeCell ref="B40:H40"/>
    <mergeCell ref="B16:H16"/>
    <mergeCell ref="B17:F17"/>
    <mergeCell ref="B31:F31"/>
    <mergeCell ref="B34:H34"/>
    <mergeCell ref="B36:F36"/>
    <mergeCell ref="B24:F24"/>
    <mergeCell ref="B25:F25"/>
    <mergeCell ref="B18:F18"/>
    <mergeCell ref="B30:F30"/>
    <mergeCell ref="B22:H22"/>
    <mergeCell ref="B28:H28"/>
    <mergeCell ref="B29:F29"/>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68:H68"/>
    <mergeCell ref="B69:F69"/>
    <mergeCell ref="B70:F70"/>
    <mergeCell ref="B63:H63"/>
    <mergeCell ref="B64:F64"/>
    <mergeCell ref="B65:F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0" t="s">
        <v>76</v>
      </c>
      <c r="C3" s="110"/>
      <c r="D3" s="110"/>
      <c r="E3" s="110"/>
      <c r="F3" s="110"/>
      <c r="G3" s="110"/>
      <c r="H3" s="1"/>
    </row>
    <row r="4" spans="1:8" ht="15" customHeight="1" x14ac:dyDescent="0.25">
      <c r="A4" s="1"/>
      <c r="B4" s="110"/>
      <c r="C4" s="110"/>
      <c r="D4" s="110"/>
      <c r="E4" s="110"/>
      <c r="F4" s="110"/>
      <c r="G4" s="110"/>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7" t="s">
        <v>10</v>
      </c>
      <c r="C8" s="118"/>
      <c r="D8" s="118"/>
      <c r="E8" s="118"/>
      <c r="F8" s="118"/>
      <c r="G8" s="119"/>
      <c r="H8" s="1"/>
    </row>
    <row r="9" spans="1:8" x14ac:dyDescent="0.25">
      <c r="A9" s="1"/>
      <c r="B9" s="120" t="s">
        <v>271</v>
      </c>
      <c r="C9" s="121"/>
      <c r="D9" s="121"/>
      <c r="E9" s="121"/>
      <c r="F9" s="122"/>
      <c r="G9" s="22">
        <v>1.1347631491165569E-2</v>
      </c>
      <c r="H9" s="1"/>
    </row>
    <row r="10" spans="1:8" x14ac:dyDescent="0.25">
      <c r="A10" s="1"/>
      <c r="B10" s="33"/>
      <c r="C10" s="28"/>
      <c r="D10" s="28"/>
      <c r="E10" s="28"/>
      <c r="F10" s="28"/>
      <c r="G10" s="19"/>
      <c r="H10" s="1"/>
    </row>
    <row r="11" spans="1:8" ht="33" customHeight="1" x14ac:dyDescent="0.25">
      <c r="A11" s="1"/>
      <c r="B11" s="131" t="s">
        <v>264</v>
      </c>
      <c r="C11" s="131"/>
      <c r="D11" s="131"/>
      <c r="E11" s="131"/>
      <c r="F11" s="131"/>
      <c r="G11" s="131"/>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PY8ZIyfW0BCweQ2V6XZf3K1kYVj62yhAmjNpETbHkPzWGWNCBTGvASFfPoe9xqszwP9ZvfA6lRJrEgkdk3fr1A==" saltValue="bUtOAqgmUZ3cXiQ5rzrawg=="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7</vt:i4>
      </vt:variant>
    </vt:vector>
  </HeadingPairs>
  <TitlesOfParts>
    <vt:vector size="27"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Vera Høyer Moesgaard</cp:lastModifiedBy>
  <cp:lastPrinted>2016-06-14T12:57:30Z</cp:lastPrinted>
  <dcterms:created xsi:type="dcterms:W3CDTF">2016-06-02T08:51:18Z</dcterms:created>
  <dcterms:modified xsi:type="dcterms:W3CDTF">2024-02-12T11:30:04Z</dcterms:modified>
</cp:coreProperties>
</file>