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Denne_projektmappe" defaultThemeVersion="124226"/>
  <mc:AlternateContent xmlns:mc="http://schemas.openxmlformats.org/markup-compatibility/2006">
    <mc:Choice Requires="x15">
      <x15ac:absPath xmlns:x15ac="http://schemas.microsoft.com/office/spreadsheetml/2010/11/ac" url="E:\VAND\Sagsbehandling\Spildevand\AQUADJURS AS (S003)\ØR2023\"/>
    </mc:Choice>
  </mc:AlternateContent>
  <xr:revisionPtr revIDLastSave="0" documentId="13_ncr:1_{06DDF8D4-B6CE-4E3E-A5D7-E4BD0761477E}"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3" sheetId="2" r:id="rId2"/>
    <sheet name="Fane 2.2. Økonomisk ramme 2024" sheetId="15" r:id="rId3"/>
    <sheet name="Fane 2.3. Økonomisk ramme 2025" sheetId="42" r:id="rId4"/>
    <sheet name="Fane 2.4. Økonomisk ramme 2026" sheetId="4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91029"/>
</workbook>
</file>

<file path=xl/calcChain.xml><?xml version="1.0" encoding="utf-8"?>
<calcChain xmlns="http://schemas.openxmlformats.org/spreadsheetml/2006/main">
  <c r="G16" i="19" l="1"/>
  <c r="G12" i="15" l="1"/>
  <c r="G13" i="15"/>
  <c r="G23" i="2"/>
  <c r="E22" i="2"/>
  <c r="E23" i="2"/>
  <c r="C23" i="2"/>
  <c r="G15" i="19"/>
  <c r="G12" i="19"/>
  <c r="E16" i="19"/>
  <c r="C16" i="19"/>
  <c r="G13" i="43" l="1"/>
  <c r="E13" i="43"/>
  <c r="G13" i="42"/>
  <c r="E13" i="42"/>
  <c r="E13" i="15"/>
  <c r="C17" i="19"/>
  <c r="C22" i="2" s="1"/>
  <c r="E11" i="2"/>
  <c r="E10" i="2"/>
  <c r="E12" i="2"/>
  <c r="E13" i="2"/>
  <c r="E14" i="2"/>
  <c r="E15" i="2"/>
  <c r="G27" i="27"/>
  <c r="G26" i="27"/>
  <c r="G32" i="27"/>
  <c r="G30" i="27"/>
  <c r="G28" i="27"/>
  <c r="G24" i="27"/>
  <c r="G22" i="27"/>
  <c r="C7" i="30"/>
  <c r="C11" i="30" s="1"/>
  <c r="G10" i="27"/>
  <c r="G11" i="27"/>
  <c r="G12" i="27"/>
  <c r="G13" i="27"/>
  <c r="G14" i="27"/>
  <c r="G15" i="27"/>
  <c r="G17" i="27"/>
  <c r="G9" i="27"/>
  <c r="E16" i="27"/>
  <c r="E18" i="27"/>
  <c r="C16" i="42" l="1"/>
  <c r="C16" i="15"/>
  <c r="C16" i="43"/>
  <c r="C24" i="2"/>
  <c r="E7" i="30" l="1"/>
  <c r="E11" i="30" s="1"/>
  <c r="G43" i="30" l="1"/>
  <c r="G37" i="30"/>
  <c r="G26" i="30"/>
  <c r="G20" i="30"/>
  <c r="G14" i="30"/>
  <c r="G13" i="30"/>
  <c r="G12" i="30"/>
  <c r="E15" i="30"/>
  <c r="E19" i="30" s="1"/>
  <c r="G6" i="30"/>
  <c r="G5" i="30"/>
  <c r="G7" i="30" s="1"/>
  <c r="E21" i="30" l="1"/>
  <c r="E25" i="30" s="1"/>
  <c r="G11" i="30" l="1"/>
  <c r="G15" i="30" s="1"/>
  <c r="C15" i="30"/>
  <c r="C19" i="30" s="1"/>
  <c r="E27" i="30"/>
  <c r="E36" i="30" s="1"/>
  <c r="G37" i="36"/>
  <c r="G31" i="36"/>
  <c r="G25" i="36"/>
  <c r="G19" i="36"/>
  <c r="G13" i="36"/>
  <c r="G12" i="36"/>
  <c r="G6" i="36"/>
  <c r="G7" i="36" s="1"/>
  <c r="C7" i="36"/>
  <c r="C11" i="36" s="1"/>
  <c r="E7" i="36"/>
  <c r="E11" i="36" s="1"/>
  <c r="E14" i="36" s="1"/>
  <c r="E18" i="36" s="1"/>
  <c r="E20" i="36" s="1"/>
  <c r="E24" i="36" s="1"/>
  <c r="E26" i="36" s="1"/>
  <c r="E30" i="36" s="1"/>
  <c r="E32" i="36" s="1"/>
  <c r="E36" i="36" s="1"/>
  <c r="E38" i="36" s="1"/>
  <c r="G32" i="19"/>
  <c r="G31" i="19"/>
  <c r="G30" i="19"/>
  <c r="G29" i="19"/>
  <c r="G24" i="19"/>
  <c r="G23" i="19"/>
  <c r="G22" i="19"/>
  <c r="G21" i="19"/>
  <c r="E17" i="19"/>
  <c r="G11" i="19"/>
  <c r="G13" i="19"/>
  <c r="G14" i="19"/>
  <c r="G10" i="19"/>
  <c r="G24" i="32"/>
  <c r="I23" i="32"/>
  <c r="I22" i="32"/>
  <c r="I21" i="32"/>
  <c r="I16" i="32"/>
  <c r="I15" i="32"/>
  <c r="I10" i="32"/>
  <c r="I9" i="32"/>
  <c r="E24" i="32"/>
  <c r="G30" i="41"/>
  <c r="E26" i="40"/>
  <c r="E22" i="40"/>
  <c r="E27" i="40" s="1"/>
  <c r="J16" i="11"/>
  <c r="H16" i="11"/>
  <c r="F15" i="11"/>
  <c r="F16" i="11" s="1"/>
  <c r="E20" i="37"/>
  <c r="C20" i="37"/>
  <c r="E19" i="37"/>
  <c r="C19" i="37"/>
  <c r="E16" i="37"/>
  <c r="C16" i="37"/>
  <c r="E17" i="39"/>
  <c r="E18" i="39" s="1"/>
  <c r="C17" i="39"/>
  <c r="C18" i="39" s="1"/>
  <c r="E11" i="20"/>
  <c r="E13" i="20" s="1"/>
  <c r="E12" i="20"/>
  <c r="E29" i="20"/>
  <c r="E31" i="20" s="1"/>
  <c r="E30" i="20"/>
  <c r="E23" i="20"/>
  <c r="E24" i="20"/>
  <c r="E17" i="20"/>
  <c r="E19" i="20" s="1"/>
  <c r="E18" i="20"/>
  <c r="E17" i="29"/>
  <c r="E18" i="29" s="1"/>
  <c r="C17" i="29"/>
  <c r="C18" i="29" s="1"/>
  <c r="E18" i="21"/>
  <c r="E19" i="21" s="1"/>
  <c r="C18" i="21"/>
  <c r="C19" i="21" s="1"/>
  <c r="E43" i="36"/>
  <c r="E26" i="2"/>
  <c r="E28" i="2"/>
  <c r="E30" i="2" s="1"/>
  <c r="E29" i="2"/>
  <c r="E31" i="2" s="1"/>
  <c r="E34" i="2"/>
  <c r="E36" i="2"/>
  <c r="E38" i="2"/>
  <c r="I24" i="32" l="1"/>
  <c r="G11" i="36"/>
  <c r="E19" i="27"/>
  <c r="E20" i="27" s="1"/>
  <c r="E42" i="36"/>
  <c r="E44" i="36" s="1"/>
  <c r="C14" i="36"/>
  <c r="C18" i="36" s="1"/>
  <c r="C20" i="36" s="1"/>
  <c r="C24" i="36" s="1"/>
  <c r="C26" i="36" s="1"/>
  <c r="C30" i="36" s="1"/>
  <c r="C32" i="36" s="1"/>
  <c r="C36" i="36" s="1"/>
  <c r="C38" i="36" s="1"/>
  <c r="E32" i="2"/>
  <c r="E16" i="42"/>
  <c r="E16" i="43"/>
  <c r="E16" i="15"/>
  <c r="E38" i="30"/>
  <c r="E42" i="30" s="1"/>
  <c r="G14" i="36"/>
  <c r="E25" i="20"/>
  <c r="G18" i="36" l="1"/>
  <c r="G20" i="36" s="1"/>
  <c r="C19" i="27"/>
  <c r="G19" i="27" s="1"/>
  <c r="C42" i="36"/>
  <c r="G42" i="36" s="1"/>
  <c r="G30" i="36"/>
  <c r="G32" i="36" s="1"/>
  <c r="G24" i="36"/>
  <c r="E35" i="27"/>
  <c r="E9" i="2"/>
  <c r="E24" i="2"/>
  <c r="G22" i="2"/>
  <c r="G24" i="2" s="1"/>
  <c r="E48" i="36"/>
  <c r="E49" i="36" s="1"/>
  <c r="E53" i="36" s="1"/>
  <c r="E54" i="36" s="1"/>
  <c r="E58" i="36" s="1"/>
  <c r="E59" i="36" s="1"/>
  <c r="E19" i="2"/>
  <c r="E44" i="30"/>
  <c r="E48" i="30" s="1"/>
  <c r="G36" i="36"/>
  <c r="E16" i="2" l="1"/>
  <c r="E17" i="2"/>
  <c r="I34" i="32"/>
  <c r="C34" i="2" l="1"/>
  <c r="G34" i="2" s="1"/>
  <c r="G17" i="19" l="1"/>
  <c r="C34" i="27"/>
  <c r="G34" i="27" s="1"/>
  <c r="C38" i="2"/>
  <c r="G38" i="2" s="1"/>
  <c r="G16" i="43" l="1"/>
  <c r="G16" i="15"/>
  <c r="G16" i="42"/>
  <c r="G18" i="41"/>
  <c r="C11" i="29" l="1"/>
  <c r="E11" i="29"/>
  <c r="E11" i="39"/>
  <c r="C11" i="39"/>
  <c r="J11" i="11"/>
  <c r="H11" i="11"/>
  <c r="C16" i="27" l="1"/>
  <c r="G16" i="27" s="1"/>
  <c r="G29" i="20" l="1"/>
  <c r="G23" i="20"/>
  <c r="G17" i="20"/>
  <c r="G11" i="20"/>
  <c r="F10" i="11" l="1"/>
  <c r="F11" i="11" s="1"/>
  <c r="E12" i="29" l="1"/>
  <c r="C12" i="29"/>
  <c r="C12" i="21" l="1"/>
  <c r="C13" i="21" s="1"/>
  <c r="C12" i="2" l="1"/>
  <c r="G12" i="2" s="1"/>
  <c r="C15" i="2" l="1"/>
  <c r="G15" i="2" s="1"/>
  <c r="C14" i="2"/>
  <c r="G14" i="2" s="1"/>
  <c r="C12" i="39" l="1"/>
  <c r="E12" i="39" l="1"/>
  <c r="C28" i="2" l="1"/>
  <c r="C30" i="2" l="1"/>
  <c r="G30" i="2" s="1"/>
  <c r="G28" i="2"/>
  <c r="C29" i="2"/>
  <c r="C31" i="2" l="1"/>
  <c r="G31" i="2" s="1"/>
  <c r="G29" i="2"/>
  <c r="G32" i="2"/>
  <c r="C32" i="2"/>
  <c r="G24" i="20" l="1"/>
  <c r="G25" i="20" s="1"/>
  <c r="G30" i="20" l="1"/>
  <c r="G31" i="20" s="1"/>
  <c r="E16" i="40" l="1"/>
  <c r="E12" i="40" l="1"/>
  <c r="G18" i="20" l="1"/>
  <c r="G19" i="20" s="1"/>
  <c r="G12" i="20"/>
  <c r="G13" i="20" l="1"/>
  <c r="C26" i="2" s="1"/>
  <c r="G26" i="2" s="1"/>
  <c r="E17" i="40"/>
  <c r="C36" i="2" s="1"/>
  <c r="G36" i="2" s="1"/>
  <c r="E12" i="21" l="1"/>
  <c r="E13" i="21" s="1"/>
  <c r="C13" i="2" l="1"/>
  <c r="G13" i="2" s="1"/>
  <c r="C21" i="30" l="1"/>
  <c r="G19" i="30"/>
  <c r="G21" i="30" s="1"/>
  <c r="G26" i="36"/>
  <c r="C25" i="30" l="1"/>
  <c r="G25" i="30" l="1"/>
  <c r="G27" i="30" s="1"/>
  <c r="C27" i="30"/>
  <c r="C10" i="37"/>
  <c r="C11" i="37" s="1"/>
  <c r="C12" i="37" l="1"/>
  <c r="C10" i="2" s="1"/>
  <c r="C49" i="30" l="1"/>
  <c r="G10" i="2"/>
  <c r="G38" i="36"/>
  <c r="C36" i="30" l="1"/>
  <c r="E10" i="37"/>
  <c r="E11" i="37" s="1"/>
  <c r="G36" i="30" l="1"/>
  <c r="G38" i="30" s="1"/>
  <c r="C38" i="30"/>
  <c r="C42" i="30" s="1"/>
  <c r="C44" i="30" s="1"/>
  <c r="E12" i="37"/>
  <c r="E49" i="30" s="1"/>
  <c r="E50" i="30" l="1"/>
  <c r="G49" i="30"/>
  <c r="G42" i="30"/>
  <c r="G44" i="30" s="1"/>
  <c r="C11" i="2"/>
  <c r="G11" i="2" s="1"/>
  <c r="E54" i="30" l="1"/>
  <c r="E55" i="30" s="1"/>
  <c r="E18" i="2"/>
  <c r="C43" i="36"/>
  <c r="C48" i="30"/>
  <c r="C50" i="30" s="1"/>
  <c r="C18" i="27"/>
  <c r="E59" i="30" l="1"/>
  <c r="E60" i="30" s="1"/>
  <c r="E12" i="15"/>
  <c r="E20" i="2"/>
  <c r="E39" i="2" s="1"/>
  <c r="C20" i="27"/>
  <c r="C35" i="27" s="1"/>
  <c r="G18" i="27"/>
  <c r="G20" i="27" s="1"/>
  <c r="G35" i="27" s="1"/>
  <c r="G48" i="30"/>
  <c r="G50" i="30" s="1"/>
  <c r="C44" i="36"/>
  <c r="G43" i="36"/>
  <c r="G44" i="36" s="1"/>
  <c r="C54" i="30"/>
  <c r="C18" i="2"/>
  <c r="G18" i="2" s="1"/>
  <c r="E9" i="15" l="1"/>
  <c r="E68" i="30"/>
  <c r="E69" i="30" s="1"/>
  <c r="E12" i="43" s="1"/>
  <c r="E12" i="42"/>
  <c r="C48" i="36"/>
  <c r="G48" i="36" s="1"/>
  <c r="G49" i="36" s="1"/>
  <c r="C19" i="2"/>
  <c r="G19" i="2" s="1"/>
  <c r="C9" i="2"/>
  <c r="G54" i="30"/>
  <c r="G55" i="30" s="1"/>
  <c r="C55" i="30"/>
  <c r="C59" i="30" s="1"/>
  <c r="C13" i="15" l="1"/>
  <c r="C13" i="43"/>
  <c r="C13" i="42"/>
  <c r="C16" i="2"/>
  <c r="G16" i="2" s="1"/>
  <c r="G9" i="2"/>
  <c r="C49" i="36"/>
  <c r="C53" i="36" s="1"/>
  <c r="C54" i="36" s="1"/>
  <c r="C58" i="36" s="1"/>
  <c r="E10" i="15"/>
  <c r="C17" i="2"/>
  <c r="G17" i="2" s="1"/>
  <c r="G20" i="2" s="1"/>
  <c r="G39" i="2" s="1"/>
  <c r="G59" i="30"/>
  <c r="G60" i="30" s="1"/>
  <c r="G12" i="42" s="1"/>
  <c r="C60" i="30"/>
  <c r="C12" i="42" s="1"/>
  <c r="C12" i="15"/>
  <c r="C68" i="30" l="1"/>
  <c r="C69" i="30" s="1"/>
  <c r="C12" i="43" s="1"/>
  <c r="G53" i="36"/>
  <c r="G54" i="36" s="1"/>
  <c r="E11" i="15"/>
  <c r="E14" i="15" s="1"/>
  <c r="G9" i="15"/>
  <c r="C59" i="36"/>
  <c r="G58" i="36"/>
  <c r="G59" i="36" s="1"/>
  <c r="C20" i="2"/>
  <c r="C39" i="2" s="1"/>
  <c r="G10" i="15" l="1"/>
  <c r="G68" i="30"/>
  <c r="G69" i="30" s="1"/>
  <c r="G12" i="43" s="1"/>
  <c r="E23" i="15"/>
  <c r="E9" i="42"/>
  <c r="C9" i="15"/>
  <c r="C10" i="15" s="1"/>
  <c r="E10" i="42" l="1"/>
  <c r="E11" i="42" s="1"/>
  <c r="C11" i="15"/>
  <c r="G11" i="15" s="1"/>
  <c r="G14" i="15" s="1"/>
  <c r="E14" i="42" l="1"/>
  <c r="E9" i="43" s="1"/>
  <c r="C14" i="15"/>
  <c r="E23" i="42" l="1"/>
  <c r="G23" i="15"/>
  <c r="G9" i="42"/>
  <c r="G10" i="42" s="1"/>
  <c r="C23" i="15"/>
  <c r="C9" i="42"/>
  <c r="E10" i="43"/>
  <c r="E11" i="43" s="1"/>
  <c r="E14" i="43" s="1"/>
  <c r="E23" i="43" s="1"/>
  <c r="C10" i="42" l="1"/>
  <c r="C11" i="42" s="1"/>
  <c r="G11" i="42" l="1"/>
  <c r="G14" i="42" s="1"/>
  <c r="G23" i="42" s="1"/>
  <c r="C14" i="42"/>
  <c r="C23" i="42" s="1"/>
  <c r="C9" i="43" l="1"/>
  <c r="C10" i="43" s="1"/>
  <c r="C11" i="43" s="1"/>
  <c r="G9" i="43"/>
  <c r="G10" i="43" s="1"/>
  <c r="G11" i="43" l="1"/>
  <c r="G14" i="43" s="1"/>
  <c r="G23" i="43" s="1"/>
  <c r="C14" i="43"/>
  <c r="C23" i="43" s="1"/>
</calcChain>
</file>

<file path=xl/sharedStrings.xml><?xml version="1.0" encoding="utf-8"?>
<sst xmlns="http://schemas.openxmlformats.org/spreadsheetml/2006/main" count="1160" uniqueCount="302">
  <si>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</si>
  <si>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</si>
  <si>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</si>
  <si>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</si>
  <si>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</si>
  <si>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</si>
  <si>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</si>
  <si>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</si>
  <si>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</si>
  <si>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</si>
  <si>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</si>
  <si>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</si>
  <si>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</si>
  <si>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</si>
  <si>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</si>
  <si>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</si>
  <si>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</si>
  <si>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</si>
  <si>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</si>
  <si>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</si>
  <si>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</si>
  <si>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</si>
  <si>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</si>
  <si>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</si>
  <si>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</si>
  <si>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</si>
  <si>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</si>
  <si>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</si>
  <si>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</si>
  <si>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</si>
  <si>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</si>
  <si>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</si>
  <si>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</si>
  <si>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</si>
  <si>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</si>
  <si>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</si>
  <si>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</si>
  <si>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</si>
  <si>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</si>
  <si>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</si>
  <si>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</si>
  <si>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</si>
  <si>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</si>
  <si>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</si>
  <si>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</si>
  <si>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</si>
  <si>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</si>
  <si>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</si>
  <si>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</si>
  <si>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</si>
  <si>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</si>
  <si>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</si>
  <si>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</si>
  <si>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</si>
  <si>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</si>
  <si>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</si>
  <si>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</si>
  <si>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</si>
  <si>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</si>
  <si>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</si>
  <si>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</si>
  <si>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</si>
  <si>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</si>
  <si>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</si>
  <si>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</si>
  <si>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</si>
  <si>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</si>
  <si>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</si>
  <si>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</si>
  <si>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</si>
  <si>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</si>
  <si>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</si>
  <si>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</si>
  <si>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</si>
  <si>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</si>
  <si>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</si>
  <si>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</si>
  <si>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</si>
  <si>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</si>
  <si>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</si>
  <si>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</si>
  <si>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</si>
  <si>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</si>
  <si>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</si>
  <si>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</si>
  <si>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</si>
  <si>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</si>
  <si>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</si>
  <si>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</si>
  <si>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</si>
  <si>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</si>
  <si>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</si>
  <si>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Korrektion af tidligere godkendte omkostninger til medfinansiering af klimatilpasningsprojekter</t>
  </si>
  <si>
    <t>Generelt effektiviseringskrav på drift</t>
  </si>
  <si>
    <t>Generelt effektiviseringskrav på anlæg</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</si>
  <si>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</si>
  <si>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</si>
  <si>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</si>
  <si>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</si>
  <si>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</si>
  <si>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</si>
  <si>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</si>
  <si>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</si>
  <si>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</si>
  <si>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</si>
  <si>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</si>
  <si>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</si>
  <si>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</si>
  <si>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</si>
  <si>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</si>
  <si>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</si>
  <si>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</si>
  <si>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</si>
  <si>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</si>
  <si>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</si>
  <si>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</si>
  <si>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</si>
  <si>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</si>
  <si>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</si>
  <si>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</si>
  <si>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</si>
  <si>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</si>
  <si>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</si>
  <si>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</si>
  <si>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</si>
  <si>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</si>
  <si>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</si>
  <si>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</si>
  <si>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</si>
  <si>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</si>
  <si>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</si>
  <si>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</si>
  <si>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</si>
  <si>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</si>
  <si>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</si>
  <si>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</si>
  <si>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</si>
  <si>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</si>
  <si>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</si>
  <si>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</si>
  <si>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</si>
  <si>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</si>
  <si>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</si>
  <si>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</si>
  <si>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</si>
  <si>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Generelt effektiviseringskrav til driftsomkostninger i de vejledende økonomiske rammer for 2025</t>
  </si>
  <si>
    <t>Base for driftsomkostninger til de vejledende økonomiske rammer for 2025</t>
  </si>
  <si>
    <t>Vejledende generelt effektiviseringskrav til driftsomkostningerne i ØR25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</si>
  <si>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</si>
  <si>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</si>
  <si>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</si>
  <si>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</si>
  <si>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</si>
  <si>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</si>
  <si>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</si>
  <si>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</si>
  <si>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</si>
  <si>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</si>
  <si>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</si>
  <si>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</si>
  <si>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</si>
  <si>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</si>
  <si>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</si>
  <si>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</si>
  <si>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</si>
  <si>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</si>
  <si>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</si>
  <si>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</si>
  <si>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</si>
  <si>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</si>
  <si>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</si>
  <si>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</si>
  <si>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</si>
  <si>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</si>
  <si>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</si>
  <si>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</si>
  <si>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</si>
  <si>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</si>
  <si>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</si>
  <si>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</si>
  <si>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</si>
  <si>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</si>
  <si>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</si>
  <si>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</si>
  <si>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</si>
  <si>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</si>
  <si>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</si>
  <si>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</si>
  <si>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</si>
  <si>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</si>
  <si>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</si>
  <si>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</si>
  <si>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</si>
  <si>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</si>
  <si>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</si>
  <si>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</si>
  <si>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</si>
  <si>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</si>
  <si>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</si>
  <si>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</si>
  <si>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</si>
  <si>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</si>
  <si>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</si>
  <si>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</si>
  <si>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</si>
  <si>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</si>
  <si>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</si>
  <si>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</si>
  <si>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</si>
  <si>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</si>
  <si>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</si>
  <si>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</si>
  <si>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</si>
  <si>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</si>
  <si>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</si>
  <si>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</si>
  <si>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</si>
  <si>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</si>
  <si>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</si>
  <si>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</si>
  <si>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</si>
  <si>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</si>
  <si>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</si>
  <si>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</si>
  <si>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</si>
  <si>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</si>
  <si>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</si>
  <si>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Generelt effektiviseringskrav til driftsomkostninger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</si>
  <si>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</si>
  <si>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</si>
  <si>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</si>
  <si>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</si>
  <si>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</si>
  <si>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</si>
  <si>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</si>
  <si>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</si>
  <si>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</si>
  <si>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</si>
  <si>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</si>
  <si>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</si>
  <si>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</si>
  <si>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</si>
  <si>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</si>
  <si>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</si>
  <si>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</si>
  <si>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</si>
  <si>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</si>
  <si>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</si>
  <si>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</si>
  <si>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</si>
  <si>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Spildevandsafgift</t>
  </si>
  <si>
    <t>Afgift til Forsyningssekretariatet</t>
  </si>
  <si>
    <t>Køb af ydelser og produkter fra andre vandselskaber reguleret af vandsektorloven</t>
  </si>
  <si>
    <t>Ejendomsskatter</t>
  </si>
  <si>
    <t>Undersøgelsesudgifter i forbindelse med fusion</t>
  </si>
  <si>
    <t>Resultat af kontrol med overholdelse af den økonomiske ramme for 2021</t>
  </si>
  <si>
    <t>Ingen tilknyttet virksomhed under hovedvirksomheden</t>
  </si>
  <si>
    <t xml:space="preserve">Ingen anlægsprojekter </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</si>
  <si>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</si>
  <si>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</si>
  <si>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</si>
  <si>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</si>
  <si>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</si>
  <si>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</si>
  <si>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</si>
  <si>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</si>
  <si>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</si>
  <si>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</si>
  <si>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</si>
  <si>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</si>
  <si>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 xml:space="preserve">Ingen engangstillæg </t>
  </si>
  <si>
    <t>AQUADJURS A/S</t>
  </si>
  <si>
    <t>Syddjurs Spildevand A/S</t>
  </si>
  <si>
    <t>Samlet</t>
  </si>
  <si>
    <t>Bortfald eller nedsættelse fra og med de økonomiske rammer for 2023 for AQUADJURS A/S</t>
  </si>
  <si>
    <t>Bortfald eller nedsættelse fra og med de økonomiske rammer for 2023 for Syddjurs Spildevand A/S</t>
  </si>
  <si>
    <t>Tilknyttet virksomhed under hovedvirksomheden for AQUADJURS A/S</t>
  </si>
  <si>
    <t>Tilknyttet virksomhed under hovedvirksomheden for Syddjurs Spildevand A/S</t>
  </si>
  <si>
    <t>Engangstillæg til de økonomiske rammer for 2023 for AQUADJURS A/S</t>
  </si>
  <si>
    <t>Engangstillæg til de økonomiske rammer for 2023 for Syddjurs Spildevand A/S</t>
  </si>
  <si>
    <t>Nye varige tillæg for AQUADJURS A/S</t>
  </si>
  <si>
    <t>Nye varige tillæg for Syddjurs Spildevand A/S</t>
  </si>
  <si>
    <t>Byggemodninger</t>
  </si>
  <si>
    <t>Separeringsprojekter</t>
  </si>
  <si>
    <t>Anlægsprojekter igangsat senest den 1. marts 2016 for AQUADJURS A/S</t>
  </si>
  <si>
    <t>Anlægsprojekter igangsat senest den 1. marts 2016 for Syddjurs Spildevand A/S</t>
  </si>
  <si>
    <t>Korrektion af periodevise driftsomkostninger i de økonomiske rammer for 2021 for AQUADJURS A/S</t>
  </si>
  <si>
    <t>Korrektion af periodevise driftsomkostninger i de økonomiske rammer for 2021 for Syddjurs Spildevand A/S</t>
  </si>
  <si>
    <t>Tilbagebetaling af indtægter som følge af skattesagen (jf. § 18 stk. 6) for AQUADJURS A/S</t>
  </si>
  <si>
    <t>Tilbagebetaling af indtægter som følge af skattesagen (jf. § 18 stk. 6) for Syddjurs Spildevand A/S</t>
  </si>
  <si>
    <t>Individuelt effektiviseringskrav for AQUADJURS A/S</t>
  </si>
  <si>
    <t>Individuelt effektiviseringskrav for Syddjurs Spildevand A/S</t>
  </si>
  <si>
    <t>Generelt effektiviseringskrav til anlægsomkostninger i de økonomiske rammer for 2024</t>
  </si>
  <si>
    <t>Generelt effektiviseringskrav til anlægsomkostninger i de økonomiske rammer for 2025</t>
  </si>
  <si>
    <t>Generelt effektiviseringskrav til anlægsomkostninger i de økonomiske rammer for 2026</t>
  </si>
  <si>
    <t>Oversigt over den økonomiske ramme for 2022</t>
  </si>
  <si>
    <t>Ikke-påvirkelige omkostninger i alt</t>
  </si>
  <si>
    <t>Resterende ikke-påvirkelige omkostninger</t>
  </si>
  <si>
    <t>AquaDjurs A/S (Samlet)</t>
  </si>
  <si>
    <t>- Samhandel mellem de fusionerende selskaber</t>
  </si>
  <si>
    <t>Fane 2.2: Samlet økonomisk ramme for 2025</t>
  </si>
  <si>
    <t>Fane 2.2: Samlet økonomisk ramme for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</si>
</sst>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
    <numFmt numFmtId="166"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20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3" fontId="8" fillId="0" borderId="1" xfId="0" applyNumberFormat="1" applyFont="1" applyFill="1" applyBorder="1" applyProtection="1"/>
    <xf numFmtId="3" fontId="0" fillId="2" borderId="0" xfId="0" applyNumberFormat="1" applyFill="1" applyProtection="1"/>
    <xf numFmtId="0" fontId="0" fillId="0" borderId="0" xfId="0" applyFill="1" applyProtection="1"/>
    <xf numFmtId="0" fontId="0" fillId="0" borderId="0" xfId="0" applyFill="1" applyBorder="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2" fillId="2" borderId="0" xfId="0" applyFont="1" applyFill="1" applyAlignment="1" applyProtection="1">
      <alignment horizontal="center" vertical="center"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applyFont="1" applyFill="1" applyBorder="1" applyAlignment="1" applyProtection="1"/>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0" fontId="0" fillId="2" borderId="0" xfId="0" applyFill="1" applyAlignment="1" applyProtection="1">
      <alignment wrapText="1"/>
    </xf>
    <xf numFmtId="0" fontId="8" fillId="8" borderId="11" xfId="0" applyFont="1" applyFill="1" applyBorder="1" applyAlignment="1" applyProtection="1">
      <alignment wrapText="1"/>
    </xf>
    <xf numFmtId="3" fontId="8" fillId="8" borderId="13" xfId="0" applyNumberFormat="1" applyFont="1" applyFill="1" applyBorder="1" applyAlignment="1" applyProtection="1">
      <alignment wrapText="1"/>
    </xf>
    <xf numFmtId="0" fontId="8" fillId="8" borderId="13" xfId="0" applyFont="1" applyFill="1" applyBorder="1" applyAlignment="1" applyProtection="1">
      <alignment wrapText="1"/>
    </xf>
    <xf numFmtId="0" fontId="8" fillId="8" borderId="14" xfId="0" applyFont="1" applyFill="1" applyBorder="1" applyProtection="1"/>
    <xf numFmtId="3" fontId="8" fillId="8" borderId="14" xfId="0" applyNumberFormat="1" applyFont="1" applyFill="1" applyBorder="1" applyProtection="1"/>
    <xf numFmtId="0" fontId="8" fillId="4" borderId="14" xfId="0" applyFont="1" applyFill="1" applyBorder="1" applyProtection="1"/>
    <xf numFmtId="3" fontId="8" fillId="4" borderId="10" xfId="0" applyNumberFormat="1" applyFont="1" applyFill="1" applyBorder="1" applyAlignment="1" applyProtection="1">
      <alignment horizontal="right"/>
    </xf>
    <xf numFmtId="0" fontId="8" fillId="4" borderId="7" xfId="0" applyFont="1" applyFill="1" applyBorder="1" applyAlignment="1" applyProtection="1">
      <alignment wrapText="1"/>
    </xf>
    <xf numFmtId="0" fontId="8" fillId="4" borderId="12" xfId="0" applyFont="1" applyFill="1" applyBorder="1" applyAlignment="1" applyProtection="1">
      <alignment wrapText="1"/>
    </xf>
    <xf numFmtId="0" fontId="8" fillId="4" borderId="11" xfId="0" applyFont="1" applyFill="1" applyBorder="1" applyAlignment="1" applyProtection="1"/>
    <xf numFmtId="166" fontId="8" fillId="8" borderId="1" xfId="1" applyNumberFormat="1" applyFont="1" applyFill="1" applyBorder="1" applyProtection="1"/>
    <xf numFmtId="0" fontId="8" fillId="8" borderId="6"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3" xfId="0"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6" xfId="0" applyFont="1" applyFill="1" applyBorder="1" applyAlignment="1" applyProtection="1">
      <alignment wrapText="1"/>
    </xf>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4" borderId="1" xfId="0" applyFont="1" applyFill="1" applyBorder="1" applyAlignment="1" applyProtection="1">
      <alignment horizontal="left" wrapText="1"/>
    </xf>
    <xf numFmtId="166" fontId="7" fillId="3" borderId="6" xfId="1" applyNumberFormat="1" applyFont="1" applyFill="1" applyBorder="1" applyAlignment="1" applyProtection="1"/>
    <xf numFmtId="0" fontId="0" fillId="0" borderId="0" xfId="0" applyAlignment="1" applyProtection="1">
      <alignment wrapText="1"/>
    </xf>
    <xf numFmtId="3" fontId="8" fillId="4" borderId="1" xfId="0" applyNumberFormat="1" applyFont="1" applyFill="1" applyBorder="1" applyAlignment="1" applyProtection="1">
      <alignment wrapText="1"/>
    </xf>
    <xf numFmtId="0" fontId="8" fillId="4" borderId="8" xfId="0" applyFont="1" applyFill="1" applyBorder="1" applyAlignment="1" applyProtection="1">
      <alignment horizontal="left"/>
    </xf>
    <xf numFmtId="3" fontId="8" fillId="4" borderId="14" xfId="0" applyNumberFormat="1" applyFont="1" applyFill="1" applyBorder="1" applyProtection="1"/>
    <xf numFmtId="0" fontId="8" fillId="4" borderId="14" xfId="0" applyFont="1" applyFill="1" applyBorder="1" applyAlignment="1" applyProtection="1">
      <alignment wrapText="1"/>
    </xf>
    <xf numFmtId="0" fontId="8" fillId="4" borderId="11" xfId="0" applyFont="1" applyFill="1" applyBorder="1" applyAlignment="1" applyProtection="1">
      <alignment wrapText="1"/>
    </xf>
    <xf numFmtId="3" fontId="8" fillId="4" borderId="13" xfId="0" applyNumberFormat="1" applyFont="1" applyFill="1" applyBorder="1" applyProtection="1"/>
    <xf numFmtId="0" fontId="8" fillId="4" borderId="13" xfId="0" applyFont="1" applyFill="1" applyBorder="1" applyAlignment="1" applyProtection="1">
      <alignment wrapText="1"/>
    </xf>
    <xf numFmtId="0" fontId="8" fillId="0" borderId="1" xfId="0" applyFont="1" applyFill="1" applyBorder="1" applyProtection="1"/>
    <xf numFmtId="0" fontId="2" fillId="2" borderId="7" xfId="0" applyFont="1" applyFill="1" applyBorder="1" applyAlignment="1" applyProtection="1">
      <alignment horizontal="center"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7" fillId="3" borderId="6" xfId="0" applyFont="1" applyFill="1" applyBorder="1" applyAlignment="1" applyProtection="1">
      <alignment horizontal="center" wrapText="1"/>
    </xf>
    <xf numFmtId="0" fontId="7" fillId="3" borderId="3" xfId="0" applyFont="1" applyFill="1" applyBorder="1" applyAlignment="1" applyProtection="1">
      <alignment horizontal="center" wrapText="1"/>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Border="1" applyAlignment="1" applyProtection="1">
      <alignment horizont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8" borderId="3" xfId="0" applyFont="1" applyFill="1" applyBorder="1" applyAlignment="1" applyProtection="1">
      <alignment horizontal="left" vertical="top"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8" xfId="0" applyFont="1" applyFill="1" applyBorder="1" applyAlignment="1" applyProtection="1">
      <alignment horizontal="left"/>
    </xf>
    <xf numFmtId="0" fontId="8" fillId="8" borderId="9" xfId="0" applyFont="1" applyFill="1" applyBorder="1" applyAlignment="1" applyProtection="1">
      <alignment horizontal="left"/>
    </xf>
    <xf numFmtId="0" fontId="8" fillId="8" borderId="10" xfId="0" applyFont="1" applyFill="1" applyBorder="1" applyAlignment="1" applyProtection="1">
      <alignment horizontal="left"/>
    </xf>
    <xf numFmtId="0" fontId="8" fillId="8" borderId="11" xfId="0" applyFont="1" applyFill="1" applyBorder="1" applyAlignment="1" applyProtection="1">
      <alignment horizontal="left" wrapText="1"/>
    </xf>
    <xf numFmtId="0" fontId="8" fillId="8" borderId="7" xfId="0" applyFont="1" applyFill="1" applyBorder="1" applyAlignment="1" applyProtection="1">
      <alignment horizontal="left" wrapText="1"/>
    </xf>
    <xf numFmtId="0" fontId="8" fillId="8" borderId="12"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8" xfId="0" applyFont="1" applyFill="1" applyBorder="1" applyAlignment="1" applyProtection="1">
      <alignment horizontal="left" wrapText="1"/>
    </xf>
    <xf numFmtId="0" fontId="8" fillId="4" borderId="9" xfId="0" applyFont="1" applyFill="1" applyBorder="1" applyAlignment="1" applyProtection="1">
      <alignment horizontal="left" wrapText="1"/>
    </xf>
    <xf numFmtId="0" fontId="8" fillId="4" borderId="10"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0"/>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46" t="s">
        <v>4</v>
      </c>
      <c r="E6" s="146"/>
      <c r="F6" s="146"/>
      <c r="G6" s="146"/>
      <c r="H6" s="3"/>
      <c r="I6" s="1"/>
    </row>
    <row r="7" spans="1:9" ht="15" customHeight="1" x14ac:dyDescent="0.25">
      <c r="A7" s="1"/>
      <c r="B7" s="1"/>
      <c r="C7" s="3"/>
      <c r="D7" s="146"/>
      <c r="E7" s="146"/>
      <c r="F7" s="146"/>
      <c r="G7" s="146"/>
      <c r="H7" s="3"/>
      <c r="I7" s="1"/>
    </row>
    <row r="8" spans="1:9" ht="15.75" x14ac:dyDescent="0.25">
      <c r="A8" s="1"/>
      <c r="B8" s="1"/>
      <c r="C8" s="4"/>
      <c r="D8" s="151" t="s">
        <v>213</v>
      </c>
      <c r="E8" s="151"/>
      <c r="F8" s="151"/>
      <c r="G8" s="151"/>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50" t="s">
        <v>5</v>
      </c>
      <c r="E11" s="150"/>
      <c r="F11" s="150"/>
      <c r="G11" s="150"/>
      <c r="H11" s="5"/>
      <c r="I11" s="1"/>
    </row>
    <row r="12" spans="1:9" x14ac:dyDescent="0.25">
      <c r="A12" s="1"/>
      <c r="B12" s="1"/>
      <c r="C12" s="1"/>
      <c r="D12" s="1"/>
      <c r="E12" s="1"/>
      <c r="F12" s="1"/>
      <c r="G12" s="1"/>
      <c r="H12" s="5"/>
      <c r="I12" s="1"/>
    </row>
    <row r="13" spans="1:9" x14ac:dyDescent="0.25">
      <c r="A13" s="1"/>
      <c r="B13" s="1"/>
      <c r="C13" s="6" t="s">
        <v>6</v>
      </c>
      <c r="D13" s="152" t="s">
        <v>163</v>
      </c>
      <c r="E13" s="153"/>
      <c r="F13" s="153"/>
      <c r="G13" s="154"/>
      <c r="H13" s="5"/>
      <c r="I13" s="1"/>
    </row>
    <row r="14" spans="1:9" x14ac:dyDescent="0.25">
      <c r="A14" s="1"/>
      <c r="B14" s="1"/>
      <c r="C14" s="6" t="s">
        <v>16</v>
      </c>
      <c r="D14" s="143" t="s">
        <v>222</v>
      </c>
      <c r="E14" s="144"/>
      <c r="F14" s="144"/>
      <c r="G14" s="145"/>
      <c r="H14" s="5"/>
      <c r="I14" s="1"/>
    </row>
    <row r="15" spans="1:9" x14ac:dyDescent="0.25">
      <c r="A15" s="1"/>
      <c r="B15" s="1"/>
      <c r="C15" s="6" t="s">
        <v>34</v>
      </c>
      <c r="D15" s="143" t="s">
        <v>164</v>
      </c>
      <c r="E15" s="144"/>
      <c r="F15" s="144"/>
      <c r="G15" s="145"/>
      <c r="H15" s="5"/>
      <c r="I15" s="1"/>
    </row>
    <row r="16" spans="1:9" x14ac:dyDescent="0.25">
      <c r="A16" s="1"/>
      <c r="B16" s="1"/>
      <c r="C16" s="6" t="s">
        <v>35</v>
      </c>
      <c r="D16" s="143" t="s">
        <v>177</v>
      </c>
      <c r="E16" s="144"/>
      <c r="F16" s="144"/>
      <c r="G16" s="145"/>
      <c r="H16" s="5"/>
      <c r="I16" s="1"/>
    </row>
    <row r="17" spans="1:9" x14ac:dyDescent="0.25">
      <c r="A17" s="1"/>
      <c r="B17" s="1"/>
      <c r="C17" s="6" t="s">
        <v>116</v>
      </c>
      <c r="D17" s="143" t="s">
        <v>178</v>
      </c>
      <c r="E17" s="144"/>
      <c r="F17" s="144"/>
      <c r="G17" s="145"/>
      <c r="H17" s="5"/>
      <c r="I17" s="1"/>
    </row>
    <row r="18" spans="1:9" x14ac:dyDescent="0.25">
      <c r="A18" s="1"/>
      <c r="B18" s="1"/>
      <c r="C18" s="6" t="s">
        <v>103</v>
      </c>
      <c r="D18" s="140" t="s">
        <v>93</v>
      </c>
      <c r="E18" s="141"/>
      <c r="F18" s="141"/>
      <c r="G18" s="142"/>
      <c r="H18" s="5"/>
      <c r="I18" s="1"/>
    </row>
    <row r="19" spans="1:9" x14ac:dyDescent="0.25">
      <c r="A19" s="1"/>
      <c r="B19" s="1"/>
      <c r="C19" s="6" t="s">
        <v>104</v>
      </c>
      <c r="D19" s="140" t="s">
        <v>94</v>
      </c>
      <c r="E19" s="141"/>
      <c r="F19" s="141"/>
      <c r="G19" s="142"/>
      <c r="H19" s="5"/>
      <c r="I19" s="1"/>
    </row>
    <row r="20" spans="1:9" x14ac:dyDescent="0.25">
      <c r="A20" s="1"/>
      <c r="B20" s="1"/>
      <c r="C20" s="6" t="s">
        <v>7</v>
      </c>
      <c r="D20" s="140" t="s">
        <v>10</v>
      </c>
      <c r="E20" s="141"/>
      <c r="F20" s="141"/>
      <c r="G20" s="142"/>
      <c r="H20" s="5"/>
      <c r="I20" s="1"/>
    </row>
    <row r="21" spans="1:9" x14ac:dyDescent="0.25">
      <c r="A21" s="1"/>
      <c r="B21" s="1"/>
      <c r="C21" s="6" t="s">
        <v>105</v>
      </c>
      <c r="D21" s="147" t="s">
        <v>12</v>
      </c>
      <c r="E21" s="148"/>
      <c r="F21" s="148"/>
      <c r="G21" s="149"/>
      <c r="H21" s="5"/>
      <c r="I21" s="1"/>
    </row>
    <row r="22" spans="1:9" x14ac:dyDescent="0.25">
      <c r="A22" s="1"/>
      <c r="B22" s="1"/>
      <c r="C22" s="6" t="s">
        <v>82</v>
      </c>
      <c r="D22" s="134" t="s">
        <v>179</v>
      </c>
      <c r="E22" s="135"/>
      <c r="F22" s="135"/>
      <c r="G22" s="136"/>
      <c r="H22" s="5"/>
      <c r="I22" s="1"/>
    </row>
    <row r="23" spans="1:9" x14ac:dyDescent="0.25">
      <c r="A23" s="1"/>
      <c r="B23" s="1"/>
      <c r="C23" s="6" t="s">
        <v>8</v>
      </c>
      <c r="D23" s="134" t="s">
        <v>238</v>
      </c>
      <c r="E23" s="135"/>
      <c r="F23" s="135"/>
      <c r="G23" s="136"/>
      <c r="H23" s="5"/>
      <c r="I23" s="1"/>
    </row>
    <row r="24" spans="1:9" x14ac:dyDescent="0.25">
      <c r="A24" s="1"/>
      <c r="B24" s="1"/>
      <c r="C24" s="6" t="s">
        <v>9</v>
      </c>
      <c r="D24" s="134" t="s">
        <v>180</v>
      </c>
      <c r="E24" s="135"/>
      <c r="F24" s="135"/>
      <c r="G24" s="136"/>
      <c r="H24" s="5"/>
      <c r="I24" s="1"/>
    </row>
    <row r="25" spans="1:9" x14ac:dyDescent="0.25">
      <c r="A25" s="1"/>
      <c r="B25" s="1"/>
      <c r="C25" s="6" t="s">
        <v>231</v>
      </c>
      <c r="D25" s="134" t="s">
        <v>224</v>
      </c>
      <c r="E25" s="135"/>
      <c r="F25" s="135"/>
      <c r="G25" s="136"/>
      <c r="H25" s="1"/>
      <c r="I25" s="1"/>
    </row>
    <row r="26" spans="1:9" x14ac:dyDescent="0.25">
      <c r="A26" s="1"/>
      <c r="B26" s="1"/>
      <c r="C26" s="6" t="s">
        <v>232</v>
      </c>
      <c r="D26" s="134" t="s">
        <v>83</v>
      </c>
      <c r="E26" s="135"/>
      <c r="F26" s="135"/>
      <c r="G26" s="136"/>
      <c r="H26" s="1"/>
      <c r="I26" s="1"/>
    </row>
    <row r="27" spans="1:9" x14ac:dyDescent="0.25">
      <c r="A27" s="1"/>
      <c r="B27" s="1"/>
      <c r="C27" s="6" t="s">
        <v>233</v>
      </c>
      <c r="D27" s="134" t="s">
        <v>84</v>
      </c>
      <c r="E27" s="135"/>
      <c r="F27" s="135"/>
      <c r="G27" s="136"/>
      <c r="H27" s="1"/>
      <c r="I27" s="1"/>
    </row>
    <row r="28" spans="1:9" x14ac:dyDescent="0.25">
      <c r="A28" s="1"/>
      <c r="B28" s="1"/>
      <c r="C28" s="6" t="s">
        <v>15</v>
      </c>
      <c r="D28" s="134" t="s">
        <v>85</v>
      </c>
      <c r="E28" s="135"/>
      <c r="F28" s="135"/>
      <c r="G28" s="136"/>
      <c r="H28" s="1"/>
      <c r="I28" s="1"/>
    </row>
    <row r="29" spans="1:9" x14ac:dyDescent="0.25">
      <c r="A29" s="1"/>
      <c r="B29" s="1"/>
      <c r="C29" s="6" t="s">
        <v>37</v>
      </c>
      <c r="D29" s="134" t="s">
        <v>130</v>
      </c>
      <c r="E29" s="135"/>
      <c r="F29" s="135"/>
      <c r="G29" s="136"/>
      <c r="H29" s="1"/>
      <c r="I29" s="1"/>
    </row>
    <row r="30" spans="1:9" x14ac:dyDescent="0.25">
      <c r="A30" s="1"/>
      <c r="B30" s="1"/>
      <c r="C30" s="6" t="s">
        <v>38</v>
      </c>
      <c r="D30" s="134" t="s">
        <v>36</v>
      </c>
      <c r="E30" s="135"/>
      <c r="F30" s="135"/>
      <c r="G30" s="136"/>
      <c r="H30" s="1"/>
      <c r="I30" s="1"/>
    </row>
    <row r="31" spans="1:9" x14ac:dyDescent="0.25">
      <c r="A31" s="1"/>
      <c r="B31" s="1"/>
      <c r="C31" s="6" t="s">
        <v>234</v>
      </c>
      <c r="D31" s="137" t="s">
        <v>102</v>
      </c>
      <c r="E31" s="138"/>
      <c r="F31" s="138"/>
      <c r="G31" s="13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al9EdWHdOHuZzUyP/rNczzX8YJ9ERAanA76u4J49drEHT2HZcvyQIcPxhGfS6t2m5J9jJneua5WjpnSejoYx0Q==" saltValue="JbfxL1he+/glcqDshsg4IQ=="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3'!A1" display="Samlet økonomisk ramme for 2023" xr:uid="{00000000-0004-0000-0000-000004000000}"/>
    <hyperlink ref="D16:G16" location="'Fane 2.4. Økonomisk ramme 2026'!A1" display="Vejledende økonomisk ramme for 2026" xr:uid="{00000000-0004-0000-0000-000005000000}"/>
    <hyperlink ref="D15:G15" location="'Fane 2.3. Økonomisk ramme 2025'!A1" display="Vejledende økonomisk ramme for 2025" xr:uid="{00000000-0004-0000-0000-000006000000}"/>
    <hyperlink ref="D22:G22" location="'Fane 7. Kontrol af ØR2021'!A1" display="Kontrol af den økonomiske ramme for 2021"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2'!A1" display="Omkostninger i ØR2022"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1'!A1" display="Korrektion af den økonomiske ramme for 2021"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I52"/>
  <sheetViews>
    <sheetView showGridLines="0" view="pageLayout" topLeftCell="A7" zoomScaleNormal="100" workbookViewId="0">
      <selection activeCell="B8" sqref="B8"/>
    </sheetView>
  </sheetViews>
  <sheetFormatPr defaultColWidth="9.140625" defaultRowHeight="15" x14ac:dyDescent="0.25"/>
  <cols>
    <col min="1" max="1" width="1.42578125" style="2" customWidth="1"/>
    <col min="2" max="2" width="38" style="2" customWidth="1"/>
    <col min="3" max="3" width="12.140625" style="2" customWidth="1"/>
    <col min="4" max="4" width="3.140625" style="2" customWidth="1"/>
    <col min="5" max="5" width="12.140625" style="2" customWidth="1"/>
    <col min="6" max="6" width="3.140625" style="2" customWidth="1"/>
    <col min="7" max="7" width="12.140625" style="2" customWidth="1"/>
    <col min="8" max="8" width="3.140625" style="2" customWidth="1"/>
    <col min="9" max="9" width="1.425781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57" t="s">
        <v>108</v>
      </c>
      <c r="C3" s="157"/>
      <c r="D3" s="157"/>
      <c r="E3" s="157"/>
      <c r="F3" s="157"/>
      <c r="G3" s="157"/>
      <c r="H3" s="157"/>
      <c r="I3" s="1"/>
    </row>
    <row r="4" spans="1:9" ht="15" customHeight="1" x14ac:dyDescent="0.25">
      <c r="A4" s="1"/>
      <c r="B4" s="157"/>
      <c r="C4" s="157"/>
      <c r="D4" s="157"/>
      <c r="E4" s="157"/>
      <c r="F4" s="157"/>
      <c r="G4" s="157"/>
      <c r="H4" s="15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ht="30" customHeight="1" x14ac:dyDescent="0.25">
      <c r="A8" s="1"/>
      <c r="B8" s="32" t="s">
        <v>189</v>
      </c>
      <c r="C8" s="155" t="s">
        <v>271</v>
      </c>
      <c r="D8" s="155"/>
      <c r="E8" s="155" t="s">
        <v>272</v>
      </c>
      <c r="F8" s="155"/>
      <c r="G8" s="155" t="s">
        <v>298</v>
      </c>
      <c r="H8" s="156"/>
      <c r="I8" s="1"/>
    </row>
    <row r="9" spans="1:9" ht="15" customHeight="1" x14ac:dyDescent="0.25">
      <c r="A9" s="1"/>
      <c r="B9" s="101" t="s">
        <v>32</v>
      </c>
      <c r="C9" s="99"/>
      <c r="D9" s="99"/>
      <c r="E9" s="99"/>
      <c r="F9" s="99"/>
      <c r="G9" s="99"/>
      <c r="H9" s="100"/>
      <c r="I9" s="1"/>
    </row>
    <row r="10" spans="1:9" x14ac:dyDescent="0.25">
      <c r="A10" s="1"/>
      <c r="B10" s="78" t="s">
        <v>250</v>
      </c>
      <c r="C10" s="9">
        <v>1695462</v>
      </c>
      <c r="D10" s="14" t="s">
        <v>3</v>
      </c>
      <c r="E10" s="102">
        <v>1053490</v>
      </c>
      <c r="F10" s="14" t="s">
        <v>3</v>
      </c>
      <c r="G10" s="9">
        <f>C10+E10</f>
        <v>2748952</v>
      </c>
      <c r="H10" s="14" t="s">
        <v>3</v>
      </c>
      <c r="I10" s="1"/>
    </row>
    <row r="11" spans="1:9" x14ac:dyDescent="0.25">
      <c r="A11" s="1"/>
      <c r="B11" s="78" t="s">
        <v>251</v>
      </c>
      <c r="C11" s="9">
        <v>119161</v>
      </c>
      <c r="D11" s="14" t="s">
        <v>3</v>
      </c>
      <c r="E11" s="102">
        <v>96759</v>
      </c>
      <c r="F11" s="14" t="s">
        <v>3</v>
      </c>
      <c r="G11" s="9">
        <f t="shared" ref="G11:G14" si="0">C11+E11</f>
        <v>215920</v>
      </c>
      <c r="H11" s="14" t="s">
        <v>3</v>
      </c>
      <c r="I11" s="1"/>
    </row>
    <row r="12" spans="1:9" ht="30" customHeight="1" x14ac:dyDescent="0.25">
      <c r="A12" s="1"/>
      <c r="B12" s="28" t="s">
        <v>252</v>
      </c>
      <c r="C12" s="9">
        <v>2224787.19</v>
      </c>
      <c r="D12" s="14" t="s">
        <v>3</v>
      </c>
      <c r="E12" s="102">
        <v>5430042</v>
      </c>
      <c r="F12" s="14" t="s">
        <v>3</v>
      </c>
      <c r="G12" s="9">
        <f>C12+E12</f>
        <v>7654829.1899999995</v>
      </c>
      <c r="H12" s="14" t="s">
        <v>3</v>
      </c>
      <c r="I12" s="1"/>
    </row>
    <row r="13" spans="1:9" x14ac:dyDescent="0.25">
      <c r="A13" s="1"/>
      <c r="B13" s="78" t="s">
        <v>253</v>
      </c>
      <c r="C13" s="9">
        <v>98090.89</v>
      </c>
      <c r="D13" s="14" t="s">
        <v>3</v>
      </c>
      <c r="E13" s="102">
        <v>235546</v>
      </c>
      <c r="F13" s="14" t="s">
        <v>3</v>
      </c>
      <c r="G13" s="9">
        <f t="shared" si="0"/>
        <v>333636.89</v>
      </c>
      <c r="H13" s="14" t="s">
        <v>3</v>
      </c>
      <c r="I13" s="1"/>
    </row>
    <row r="14" spans="1:9" x14ac:dyDescent="0.25">
      <c r="A14" s="1"/>
      <c r="B14" s="78" t="s">
        <v>254</v>
      </c>
      <c r="C14" s="9">
        <v>91543.27</v>
      </c>
      <c r="D14" s="14" t="s">
        <v>3</v>
      </c>
      <c r="E14" s="102">
        <v>91980.37</v>
      </c>
      <c r="F14" s="14" t="s">
        <v>3</v>
      </c>
      <c r="G14" s="9">
        <f t="shared" si="0"/>
        <v>183523.64</v>
      </c>
      <c r="H14" s="14" t="s">
        <v>3</v>
      </c>
      <c r="I14" s="1"/>
    </row>
    <row r="15" spans="1:9" x14ac:dyDescent="0.25">
      <c r="A15" s="1"/>
      <c r="B15" s="87" t="s">
        <v>299</v>
      </c>
      <c r="C15" s="9">
        <v>0</v>
      </c>
      <c r="D15" s="14" t="s">
        <v>3</v>
      </c>
      <c r="E15" s="9">
        <v>0</v>
      </c>
      <c r="F15" s="14" t="s">
        <v>3</v>
      </c>
      <c r="G15" s="9">
        <f>4493373</f>
        <v>4493373</v>
      </c>
      <c r="H15" s="14" t="s">
        <v>3</v>
      </c>
      <c r="I15" s="1"/>
    </row>
    <row r="16" spans="1:9" x14ac:dyDescent="0.25">
      <c r="A16" s="1"/>
      <c r="B16" s="32" t="s">
        <v>190</v>
      </c>
      <c r="C16" s="12">
        <f>SUM(C10:C15)</f>
        <v>4229044.3499999996</v>
      </c>
      <c r="D16" s="13" t="s">
        <v>3</v>
      </c>
      <c r="E16" s="12">
        <f>SUM(E10:E15)</f>
        <v>6907817.3700000001</v>
      </c>
      <c r="F16" s="13" t="s">
        <v>3</v>
      </c>
      <c r="G16" s="12">
        <f>SUM(G10:G14)-G15</f>
        <v>6643488.7200000007</v>
      </c>
      <c r="H16" s="13" t="s">
        <v>3</v>
      </c>
      <c r="I16" s="1"/>
    </row>
    <row r="17" spans="1:9" x14ac:dyDescent="0.25">
      <c r="A17" s="1"/>
      <c r="B17" s="32" t="s">
        <v>191</v>
      </c>
      <c r="C17" s="12">
        <f>C16*(1+'Fane 15. Nøgletal'!C15)^2</f>
        <v>4535512.0293674162</v>
      </c>
      <c r="D17" s="13" t="s">
        <v>3</v>
      </c>
      <c r="E17" s="12">
        <f>E16*(1+'Fane 15. Nøgletal'!C15)^2</f>
        <v>7408408.6581660444</v>
      </c>
      <c r="F17" s="13" t="s">
        <v>3</v>
      </c>
      <c r="G17" s="12">
        <f>G16*(1+'Fane 15. Nøgletal'!C15)^2</f>
        <v>7124924.8087281808</v>
      </c>
      <c r="H17" s="13" t="s">
        <v>3</v>
      </c>
      <c r="I17" s="1"/>
    </row>
    <row r="18" spans="1:9" x14ac:dyDescent="0.25">
      <c r="A18" s="1"/>
      <c r="B18" s="16"/>
      <c r="C18" s="16"/>
      <c r="D18" s="16"/>
      <c r="E18" s="16"/>
      <c r="F18" s="16"/>
      <c r="G18" s="15"/>
      <c r="H18" s="15"/>
      <c r="I18" s="1"/>
    </row>
    <row r="19" spans="1:9" x14ac:dyDescent="0.25">
      <c r="A19" s="1"/>
      <c r="B19" s="16"/>
      <c r="C19" s="16"/>
      <c r="D19" s="16"/>
      <c r="E19" s="16"/>
      <c r="F19" s="16"/>
      <c r="G19" s="15"/>
      <c r="H19" s="15"/>
      <c r="I19" s="1"/>
    </row>
    <row r="20" spans="1:9" ht="30" customHeight="1" x14ac:dyDescent="0.25">
      <c r="A20" s="1"/>
      <c r="B20" s="20" t="s">
        <v>114</v>
      </c>
      <c r="C20" s="155" t="s">
        <v>271</v>
      </c>
      <c r="D20" s="155"/>
      <c r="E20" s="155" t="s">
        <v>272</v>
      </c>
      <c r="F20" s="155"/>
      <c r="G20" s="155" t="s">
        <v>298</v>
      </c>
      <c r="H20" s="156"/>
      <c r="I20" s="1"/>
    </row>
    <row r="21" spans="1:9" x14ac:dyDescent="0.25">
      <c r="A21" s="1"/>
      <c r="B21" s="78" t="s">
        <v>96</v>
      </c>
      <c r="C21" s="9">
        <v>0</v>
      </c>
      <c r="D21" s="14" t="s">
        <v>3</v>
      </c>
      <c r="E21" s="9">
        <v>0</v>
      </c>
      <c r="F21" s="14" t="s">
        <v>3</v>
      </c>
      <c r="G21" s="9">
        <f>C21+E21</f>
        <v>0</v>
      </c>
      <c r="H21" s="14" t="s">
        <v>3</v>
      </c>
      <c r="I21" s="1"/>
    </row>
    <row r="22" spans="1:9" x14ac:dyDescent="0.25">
      <c r="A22" s="1"/>
      <c r="B22" s="78" t="s">
        <v>126</v>
      </c>
      <c r="C22" s="9">
        <v>0</v>
      </c>
      <c r="D22" s="14" t="s">
        <v>3</v>
      </c>
      <c r="E22" s="9">
        <v>0</v>
      </c>
      <c r="F22" s="14" t="s">
        <v>3</v>
      </c>
      <c r="G22" s="9">
        <f t="shared" ref="G22" si="1">C22+E22</f>
        <v>0</v>
      </c>
      <c r="H22" s="14" t="s">
        <v>3</v>
      </c>
      <c r="I22" s="1"/>
    </row>
    <row r="23" spans="1:9" x14ac:dyDescent="0.25">
      <c r="A23" s="1"/>
      <c r="B23" s="78" t="s">
        <v>149</v>
      </c>
      <c r="C23" s="9">
        <v>0</v>
      </c>
      <c r="D23" s="14" t="s">
        <v>3</v>
      </c>
      <c r="E23" s="9">
        <v>0</v>
      </c>
      <c r="F23" s="14" t="s">
        <v>3</v>
      </c>
      <c r="G23" s="9">
        <f>C23+E23</f>
        <v>0</v>
      </c>
      <c r="H23" s="14" t="s">
        <v>3</v>
      </c>
      <c r="I23" s="1"/>
    </row>
    <row r="24" spans="1:9" x14ac:dyDescent="0.25">
      <c r="A24" s="1"/>
      <c r="B24" s="33" t="s">
        <v>192</v>
      </c>
      <c r="C24" s="9">
        <v>0</v>
      </c>
      <c r="D24" s="40" t="s">
        <v>3</v>
      </c>
      <c r="E24" s="9">
        <v>0</v>
      </c>
      <c r="F24" s="40" t="s">
        <v>3</v>
      </c>
      <c r="G24" s="9">
        <f t="shared" ref="G24" si="2">C24+E24</f>
        <v>0</v>
      </c>
      <c r="H24" s="40" t="s">
        <v>3</v>
      </c>
      <c r="I24" s="1"/>
    </row>
    <row r="25" spans="1:9" x14ac:dyDescent="0.25">
      <c r="A25" s="1"/>
      <c r="B25" s="170"/>
      <c r="C25" s="171"/>
      <c r="D25" s="171"/>
      <c r="E25" s="171"/>
      <c r="F25" s="171"/>
      <c r="G25" s="171"/>
      <c r="H25" s="172"/>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ht="30" customHeight="1" x14ac:dyDescent="0.25">
      <c r="A28" s="1"/>
      <c r="B28" s="32" t="s">
        <v>95</v>
      </c>
      <c r="C28" s="155" t="s">
        <v>271</v>
      </c>
      <c r="D28" s="155"/>
      <c r="E28" s="155" t="s">
        <v>272</v>
      </c>
      <c r="F28" s="155"/>
      <c r="G28" s="155" t="s">
        <v>298</v>
      </c>
      <c r="H28" s="156"/>
      <c r="I28" s="1"/>
    </row>
    <row r="29" spans="1:9" x14ac:dyDescent="0.25">
      <c r="A29" s="1"/>
      <c r="B29" s="78" t="s">
        <v>96</v>
      </c>
      <c r="C29" s="9">
        <v>0</v>
      </c>
      <c r="D29" s="14" t="s">
        <v>3</v>
      </c>
      <c r="E29" s="9">
        <v>0</v>
      </c>
      <c r="F29" s="14" t="s">
        <v>3</v>
      </c>
      <c r="G29" s="9">
        <f>C29+E29</f>
        <v>0</v>
      </c>
      <c r="H29" s="14" t="s">
        <v>3</v>
      </c>
      <c r="I29" s="1"/>
    </row>
    <row r="30" spans="1:9" x14ac:dyDescent="0.25">
      <c r="A30" s="1"/>
      <c r="B30" s="78" t="s">
        <v>126</v>
      </c>
      <c r="C30" s="9">
        <v>0</v>
      </c>
      <c r="D30" s="14" t="s">
        <v>3</v>
      </c>
      <c r="E30" s="9">
        <v>0</v>
      </c>
      <c r="F30" s="14" t="s">
        <v>3</v>
      </c>
      <c r="G30" s="9">
        <f t="shared" ref="G30" si="3">C30+E30</f>
        <v>0</v>
      </c>
      <c r="H30" s="14" t="s">
        <v>3</v>
      </c>
      <c r="I30" s="1"/>
    </row>
    <row r="31" spans="1:9" x14ac:dyDescent="0.25">
      <c r="A31" s="1"/>
      <c r="B31" s="78" t="s">
        <v>149</v>
      </c>
      <c r="C31" s="9">
        <v>0</v>
      </c>
      <c r="D31" s="14" t="s">
        <v>3</v>
      </c>
      <c r="E31" s="9">
        <v>0</v>
      </c>
      <c r="F31" s="14" t="s">
        <v>3</v>
      </c>
      <c r="G31" s="9">
        <f>C31+E31</f>
        <v>0</v>
      </c>
      <c r="H31" s="14" t="s">
        <v>3</v>
      </c>
      <c r="I31" s="1"/>
    </row>
    <row r="32" spans="1:9" x14ac:dyDescent="0.25">
      <c r="A32" s="1"/>
      <c r="B32" s="33" t="s">
        <v>192</v>
      </c>
      <c r="C32" s="9">
        <v>0</v>
      </c>
      <c r="D32" s="40" t="s">
        <v>3</v>
      </c>
      <c r="E32" s="9">
        <v>0</v>
      </c>
      <c r="F32" s="40" t="s">
        <v>3</v>
      </c>
      <c r="G32" s="9">
        <f t="shared" ref="G32" si="4">C32+E32</f>
        <v>0</v>
      </c>
      <c r="H32" s="40" t="s">
        <v>3</v>
      </c>
      <c r="I32" s="1"/>
    </row>
    <row r="33" spans="1:9" x14ac:dyDescent="0.25">
      <c r="A33" s="1"/>
      <c r="B33" s="170"/>
      <c r="C33" s="171"/>
      <c r="D33" s="171"/>
      <c r="E33" s="171"/>
      <c r="F33" s="171"/>
      <c r="G33" s="171"/>
      <c r="H33" s="172"/>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45"/>
      <c r="B49" s="45"/>
      <c r="C49" s="45"/>
      <c r="D49" s="45"/>
      <c r="E49" s="45"/>
      <c r="F49" s="45"/>
      <c r="G49" s="45"/>
      <c r="H49" s="45"/>
      <c r="I49" s="45"/>
    </row>
    <row r="50" spans="1:9" x14ac:dyDescent="0.25">
      <c r="A50" s="45"/>
      <c r="B50" s="45"/>
      <c r="C50" s="45"/>
      <c r="D50" s="45"/>
      <c r="E50" s="45"/>
      <c r="F50" s="45"/>
      <c r="G50" s="45"/>
      <c r="H50" s="45"/>
      <c r="I50" s="45"/>
    </row>
    <row r="51" spans="1:9" x14ac:dyDescent="0.25">
      <c r="A51" s="45"/>
      <c r="B51" s="45"/>
      <c r="C51" s="45"/>
      <c r="D51" s="45"/>
      <c r="E51" s="45"/>
      <c r="F51" s="45"/>
      <c r="G51" s="45"/>
      <c r="H51" s="45"/>
      <c r="I51" s="45"/>
    </row>
    <row r="52" spans="1:9" x14ac:dyDescent="0.25">
      <c r="A52" s="45"/>
      <c r="B52" s="45"/>
      <c r="C52" s="45"/>
      <c r="D52" s="45"/>
      <c r="E52" s="45"/>
      <c r="F52" s="45"/>
      <c r="G52" s="45"/>
      <c r="H52" s="45"/>
      <c r="I52" s="45"/>
    </row>
  </sheetData>
  <sheetProtection algorithmName="SHA-512" hashValue="/wsheVZtHrh17aLBRzlXei2ysABXoJ5+eGj8yc7kRdLUNLHCmnP/wh4s8Lo6bbtcLdUfmANLgMT8VLuQ2rW40g==" saltValue="oF8jU1LRgwOAqC7PieRIMg==" spinCount="100000" sheet="1" objects="1" scenarios="1"/>
  <mergeCells count="12">
    <mergeCell ref="C28:D28"/>
    <mergeCell ref="E28:F28"/>
    <mergeCell ref="G28:H28"/>
    <mergeCell ref="B33:H33"/>
    <mergeCell ref="B3:H4"/>
    <mergeCell ref="B25:H25"/>
    <mergeCell ref="C8:D8"/>
    <mergeCell ref="E8:F8"/>
    <mergeCell ref="G8:H8"/>
    <mergeCell ref="C20:D20"/>
    <mergeCell ref="E20:F20"/>
    <mergeCell ref="G20:H20"/>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2"/>
  <dimension ref="A1:K40"/>
  <sheetViews>
    <sheetView showGridLines="0" view="pageLayout" zoomScaleNormal="100" workbookViewId="0"/>
  </sheetViews>
  <sheetFormatPr defaultColWidth="9.140625" defaultRowHeight="15" x14ac:dyDescent="0.25"/>
  <cols>
    <col min="1" max="1" width="1.42578125" style="2" customWidth="1"/>
    <col min="2" max="3" width="9.140625" style="2"/>
    <col min="4" max="4" width="27.28515625" style="2" customWidth="1"/>
    <col min="5" max="5" width="10" style="2" customWidth="1"/>
    <col min="6" max="6" width="2.5703125" style="2" customWidth="1"/>
    <col min="7" max="7" width="10" style="2" customWidth="1"/>
    <col min="8" max="8" width="2.5703125" style="2" customWidth="1"/>
    <col min="9" max="9" width="10" style="2" customWidth="1"/>
    <col min="10" max="10" width="2.5703125" style="2" customWidth="1"/>
    <col min="11" max="11" width="1.42578125" style="2" customWidth="1"/>
    <col min="12" max="12" width="10.85546875" style="2" bestFit="1" customWidth="1"/>
    <col min="13" max="16384" width="9.140625" style="2"/>
  </cols>
  <sheetData>
    <row r="1" spans="1:11" x14ac:dyDescent="0.25">
      <c r="A1" s="1"/>
      <c r="B1" s="1"/>
      <c r="C1" s="1"/>
      <c r="D1" s="1"/>
      <c r="E1" s="1"/>
      <c r="F1" s="1"/>
      <c r="G1" s="1"/>
      <c r="H1" s="1"/>
      <c r="I1" s="1"/>
      <c r="J1" s="1"/>
      <c r="K1" s="1"/>
    </row>
    <row r="2" spans="1:11" x14ac:dyDescent="0.25">
      <c r="A2" s="1"/>
      <c r="B2" s="1"/>
      <c r="C2" s="1"/>
      <c r="D2" s="1"/>
      <c r="E2" s="1"/>
      <c r="F2" s="1"/>
      <c r="G2" s="1"/>
      <c r="H2" s="1"/>
      <c r="I2" s="1"/>
      <c r="J2" s="1"/>
      <c r="K2" s="1"/>
    </row>
    <row r="3" spans="1:11" ht="29.25" customHeight="1" x14ac:dyDescent="0.25">
      <c r="A3" s="1"/>
      <c r="B3" s="159" t="s">
        <v>193</v>
      </c>
      <c r="C3" s="159"/>
      <c r="D3" s="159"/>
      <c r="E3" s="159"/>
      <c r="F3" s="159"/>
      <c r="G3" s="159"/>
      <c r="H3" s="159"/>
      <c r="I3" s="159"/>
      <c r="J3" s="159"/>
      <c r="K3" s="1"/>
    </row>
    <row r="4" spans="1:11" ht="15" customHeight="1" x14ac:dyDescent="0.25">
      <c r="A4" s="1"/>
      <c r="B4" s="159"/>
      <c r="C4" s="159"/>
      <c r="D4" s="159"/>
      <c r="E4" s="159"/>
      <c r="F4" s="159"/>
      <c r="G4" s="159"/>
      <c r="H4" s="159"/>
      <c r="I4" s="159"/>
      <c r="J4" s="159"/>
      <c r="K4" s="1"/>
    </row>
    <row r="5" spans="1:11" ht="15" customHeight="1" x14ac:dyDescent="0.25">
      <c r="A5" s="1"/>
      <c r="B5" s="69"/>
      <c r="C5" s="69"/>
      <c r="D5" s="69"/>
      <c r="E5" s="81"/>
      <c r="F5" s="81"/>
      <c r="G5" s="81"/>
      <c r="H5" s="81"/>
      <c r="I5" s="69"/>
      <c r="J5" s="69"/>
      <c r="K5" s="1"/>
    </row>
    <row r="6" spans="1:11" ht="15" customHeight="1" x14ac:dyDescent="0.25">
      <c r="A6" s="1"/>
      <c r="B6" s="69"/>
      <c r="C6" s="69"/>
      <c r="D6" s="69"/>
      <c r="E6" s="81"/>
      <c r="F6" s="81"/>
      <c r="G6" s="81"/>
      <c r="H6" s="81"/>
      <c r="I6" s="69"/>
      <c r="J6" s="69"/>
      <c r="K6" s="1"/>
    </row>
    <row r="7" spans="1:11" x14ac:dyDescent="0.25">
      <c r="A7" s="1"/>
      <c r="B7" s="1"/>
      <c r="C7" s="1"/>
      <c r="D7" s="1"/>
      <c r="E7" s="1"/>
      <c r="F7" s="1"/>
      <c r="G7" s="1"/>
      <c r="H7" s="1"/>
      <c r="I7" s="1"/>
      <c r="J7" s="1"/>
      <c r="K7" s="1"/>
    </row>
    <row r="8" spans="1:11" ht="30" customHeight="1" x14ac:dyDescent="0.25">
      <c r="A8" s="1"/>
      <c r="B8" s="32" t="s">
        <v>172</v>
      </c>
      <c r="C8" s="27"/>
      <c r="D8" s="27"/>
      <c r="E8" s="155" t="s">
        <v>271</v>
      </c>
      <c r="F8" s="155"/>
      <c r="G8" s="155" t="s">
        <v>272</v>
      </c>
      <c r="H8" s="155"/>
      <c r="I8" s="155" t="s">
        <v>298</v>
      </c>
      <c r="J8" s="156"/>
      <c r="K8" s="1"/>
    </row>
    <row r="9" spans="1:11" x14ac:dyDescent="0.25">
      <c r="A9" s="1"/>
      <c r="B9" s="164" t="s">
        <v>194</v>
      </c>
      <c r="C9" s="165"/>
      <c r="D9" s="166"/>
      <c r="E9" s="9">
        <v>19159486.529908627</v>
      </c>
      <c r="F9" s="14" t="s">
        <v>3</v>
      </c>
      <c r="G9" s="9">
        <v>8235006.6770843267</v>
      </c>
      <c r="H9" s="14" t="s">
        <v>3</v>
      </c>
      <c r="I9" s="9">
        <f>E9+G9</f>
        <v>27394493.206992954</v>
      </c>
      <c r="J9" s="14" t="s">
        <v>3</v>
      </c>
      <c r="K9" s="1"/>
    </row>
    <row r="10" spans="1:11" x14ac:dyDescent="0.25">
      <c r="A10" s="1"/>
      <c r="B10" s="173" t="s">
        <v>247</v>
      </c>
      <c r="C10" s="174"/>
      <c r="D10" s="175"/>
      <c r="E10" s="96">
        <v>19159486.529908627</v>
      </c>
      <c r="F10" s="95" t="s">
        <v>3</v>
      </c>
      <c r="G10" s="9">
        <v>8235006.6770843267</v>
      </c>
      <c r="H10" s="95" t="s">
        <v>3</v>
      </c>
      <c r="I10" s="9">
        <f>E10+G10</f>
        <v>27394493.206992954</v>
      </c>
      <c r="J10" s="95" t="s">
        <v>3</v>
      </c>
      <c r="K10" s="1"/>
    </row>
    <row r="11" spans="1:11" x14ac:dyDescent="0.25">
      <c r="A11" s="1"/>
      <c r="B11" s="32"/>
      <c r="C11" s="27"/>
      <c r="D11" s="27"/>
      <c r="E11" s="27"/>
      <c r="F11" s="27"/>
      <c r="G11" s="27"/>
      <c r="H11" s="27"/>
      <c r="I11" s="27"/>
      <c r="J11" s="19"/>
      <c r="K11" s="1"/>
    </row>
    <row r="12" spans="1:11" ht="67.5" customHeight="1" x14ac:dyDescent="0.25">
      <c r="A12" s="1"/>
      <c r="B12" s="176" t="s">
        <v>248</v>
      </c>
      <c r="C12" s="177"/>
      <c r="D12" s="177"/>
      <c r="E12" s="177"/>
      <c r="F12" s="177"/>
      <c r="G12" s="177"/>
      <c r="H12" s="177"/>
      <c r="I12" s="177"/>
      <c r="J12" s="178"/>
      <c r="K12" s="1"/>
    </row>
    <row r="13" spans="1:11" ht="27" customHeight="1" x14ac:dyDescent="0.25">
      <c r="A13" s="1"/>
      <c r="B13" s="1"/>
      <c r="C13" s="1"/>
      <c r="D13" s="1"/>
      <c r="E13" s="1"/>
      <c r="F13" s="1"/>
      <c r="G13" s="1"/>
      <c r="H13" s="1"/>
      <c r="I13" s="1"/>
      <c r="J13" s="1"/>
      <c r="K13" s="1"/>
    </row>
    <row r="14" spans="1:11" ht="30" customHeight="1" x14ac:dyDescent="0.25">
      <c r="A14" s="1"/>
      <c r="B14" s="32" t="s">
        <v>173</v>
      </c>
      <c r="C14" s="27"/>
      <c r="D14" s="27"/>
      <c r="E14" s="155" t="s">
        <v>271</v>
      </c>
      <c r="F14" s="155"/>
      <c r="G14" s="155" t="s">
        <v>272</v>
      </c>
      <c r="H14" s="155"/>
      <c r="I14" s="155" t="s">
        <v>298</v>
      </c>
      <c r="J14" s="156"/>
      <c r="K14" s="1"/>
    </row>
    <row r="15" spans="1:11" x14ac:dyDescent="0.25">
      <c r="A15" s="1"/>
      <c r="B15" s="164" t="s">
        <v>266</v>
      </c>
      <c r="C15" s="165"/>
      <c r="D15" s="166"/>
      <c r="E15" s="9">
        <v>0</v>
      </c>
      <c r="F15" s="14" t="s">
        <v>3</v>
      </c>
      <c r="G15" s="9">
        <v>0</v>
      </c>
      <c r="H15" s="14" t="s">
        <v>3</v>
      </c>
      <c r="I15" s="9">
        <f>E15+G15</f>
        <v>0</v>
      </c>
      <c r="J15" s="14" t="s">
        <v>3</v>
      </c>
      <c r="K15" s="1"/>
    </row>
    <row r="16" spans="1:11" x14ac:dyDescent="0.25">
      <c r="A16" s="1"/>
      <c r="B16" s="173" t="s">
        <v>267</v>
      </c>
      <c r="C16" s="174"/>
      <c r="D16" s="175"/>
      <c r="E16" s="9">
        <v>0</v>
      </c>
      <c r="F16" s="95" t="s">
        <v>3</v>
      </c>
      <c r="G16" s="9">
        <v>0</v>
      </c>
      <c r="H16" s="95" t="s">
        <v>3</v>
      </c>
      <c r="I16" s="9">
        <f>E16+G16</f>
        <v>0</v>
      </c>
      <c r="J16" s="95" t="s">
        <v>3</v>
      </c>
      <c r="K16" s="1"/>
    </row>
    <row r="17" spans="1:11" x14ac:dyDescent="0.25">
      <c r="A17" s="1"/>
      <c r="B17" s="32"/>
      <c r="C17" s="27"/>
      <c r="D17" s="27"/>
      <c r="E17" s="27"/>
      <c r="F17" s="27"/>
      <c r="G17" s="27"/>
      <c r="H17" s="27"/>
      <c r="I17" s="27"/>
      <c r="J17" s="19"/>
      <c r="K17" s="1"/>
    </row>
    <row r="18" spans="1:11" ht="31.5" customHeight="1" x14ac:dyDescent="0.25">
      <c r="A18" s="1"/>
      <c r="B18" s="176" t="s">
        <v>174</v>
      </c>
      <c r="C18" s="177"/>
      <c r="D18" s="177"/>
      <c r="E18" s="177"/>
      <c r="F18" s="177"/>
      <c r="G18" s="177"/>
      <c r="H18" s="177"/>
      <c r="I18" s="177"/>
      <c r="J18" s="178"/>
      <c r="K18" s="1"/>
    </row>
    <row r="19" spans="1:11" ht="28.5" customHeight="1" x14ac:dyDescent="0.25">
      <c r="A19" s="1"/>
      <c r="B19" s="1"/>
      <c r="C19" s="1"/>
      <c r="D19" s="1"/>
      <c r="E19" s="1"/>
      <c r="F19" s="1"/>
      <c r="G19" s="1"/>
      <c r="H19" s="1"/>
      <c r="I19" s="1"/>
      <c r="J19" s="1"/>
      <c r="K19" s="1"/>
    </row>
    <row r="20" spans="1:11" ht="30" customHeight="1" x14ac:dyDescent="0.25">
      <c r="A20" s="1"/>
      <c r="B20" s="32" t="s">
        <v>195</v>
      </c>
      <c r="C20" s="27"/>
      <c r="D20" s="27"/>
      <c r="E20" s="155" t="s">
        <v>271</v>
      </c>
      <c r="F20" s="155"/>
      <c r="G20" s="155" t="s">
        <v>272</v>
      </c>
      <c r="H20" s="155"/>
      <c r="I20" s="155" t="s">
        <v>298</v>
      </c>
      <c r="J20" s="156"/>
      <c r="K20" s="1"/>
    </row>
    <row r="21" spans="1:11" x14ac:dyDescent="0.25">
      <c r="A21" s="1"/>
      <c r="B21" s="75" t="s">
        <v>196</v>
      </c>
      <c r="C21" s="76"/>
      <c r="D21" s="77"/>
      <c r="E21" s="9">
        <v>82520172.266870052</v>
      </c>
      <c r="F21" s="14" t="s">
        <v>3</v>
      </c>
      <c r="G21" s="9">
        <v>81660441.748628035</v>
      </c>
      <c r="H21" s="14" t="s">
        <v>3</v>
      </c>
      <c r="I21" s="9">
        <f>E21+G21</f>
        <v>164180614.0154981</v>
      </c>
      <c r="J21" s="14" t="s">
        <v>3</v>
      </c>
      <c r="K21" s="1"/>
    </row>
    <row r="22" spans="1:11" x14ac:dyDescent="0.25">
      <c r="A22" s="1"/>
      <c r="B22" s="75" t="s">
        <v>197</v>
      </c>
      <c r="C22" s="76"/>
      <c r="D22" s="77"/>
      <c r="E22" s="9">
        <v>68539658.459999993</v>
      </c>
      <c r="F22" s="14" t="s">
        <v>3</v>
      </c>
      <c r="G22" s="9">
        <v>76354907</v>
      </c>
      <c r="H22" s="14" t="s">
        <v>3</v>
      </c>
      <c r="I22" s="9">
        <f>E22+G22</f>
        <v>144894565.45999998</v>
      </c>
      <c r="J22" s="14" t="s">
        <v>3</v>
      </c>
      <c r="K22" s="1"/>
    </row>
    <row r="23" spans="1:11" ht="30" customHeight="1" x14ac:dyDescent="0.25">
      <c r="A23" s="1"/>
      <c r="B23" s="160" t="s">
        <v>33</v>
      </c>
      <c r="C23" s="161"/>
      <c r="D23" s="162"/>
      <c r="E23" s="9">
        <v>0</v>
      </c>
      <c r="F23" s="14" t="s">
        <v>3</v>
      </c>
      <c r="G23" s="9">
        <v>0</v>
      </c>
      <c r="H23" s="14" t="s">
        <v>3</v>
      </c>
      <c r="I23" s="9">
        <f>E23+G23</f>
        <v>0</v>
      </c>
      <c r="J23" s="14" t="s">
        <v>3</v>
      </c>
      <c r="K23" s="1"/>
    </row>
    <row r="24" spans="1:11" ht="30" customHeight="1" x14ac:dyDescent="0.25">
      <c r="A24" s="1"/>
      <c r="B24" s="188" t="s">
        <v>255</v>
      </c>
      <c r="C24" s="189"/>
      <c r="D24" s="190"/>
      <c r="E24" s="98">
        <f>E21-(E22-E23)</f>
        <v>13980513.806870058</v>
      </c>
      <c r="F24" s="97" t="s">
        <v>3</v>
      </c>
      <c r="G24" s="98">
        <f>G21-(G22-G23)</f>
        <v>5305534.7486280352</v>
      </c>
      <c r="H24" s="97" t="s">
        <v>3</v>
      </c>
      <c r="I24" s="98">
        <f>E24+G24</f>
        <v>19286048.555498093</v>
      </c>
      <c r="J24" s="97" t="s">
        <v>3</v>
      </c>
      <c r="K24" s="1"/>
    </row>
    <row r="25" spans="1:11" x14ac:dyDescent="0.25">
      <c r="A25" s="1"/>
      <c r="B25" s="32"/>
      <c r="C25" s="27"/>
      <c r="D25" s="27"/>
      <c r="E25" s="27"/>
      <c r="F25" s="27"/>
      <c r="G25" s="27"/>
      <c r="H25" s="27"/>
      <c r="I25" s="27"/>
      <c r="J25" s="19"/>
      <c r="K25" s="1"/>
    </row>
    <row r="26" spans="1:11" x14ac:dyDescent="0.25">
      <c r="A26" s="1"/>
      <c r="B26" s="1"/>
      <c r="C26" s="1"/>
      <c r="D26" s="1"/>
      <c r="E26" s="1"/>
      <c r="F26" s="1"/>
      <c r="G26" s="1"/>
      <c r="H26" s="1"/>
      <c r="I26" s="1"/>
      <c r="J26" s="1"/>
      <c r="K26" s="1"/>
    </row>
    <row r="27" spans="1:11" x14ac:dyDescent="0.25">
      <c r="A27" s="1"/>
      <c r="B27" s="170" t="s">
        <v>268</v>
      </c>
      <c r="C27" s="171"/>
      <c r="D27" s="171"/>
      <c r="E27" s="171"/>
      <c r="F27" s="171"/>
      <c r="G27" s="171"/>
      <c r="H27" s="171"/>
      <c r="I27" s="171"/>
      <c r="J27" s="172"/>
      <c r="K27" s="1"/>
    </row>
    <row r="28" spans="1:11" x14ac:dyDescent="0.25">
      <c r="A28" s="1"/>
      <c r="B28" s="185" t="s">
        <v>269</v>
      </c>
      <c r="C28" s="186"/>
      <c r="D28" s="186"/>
      <c r="E28" s="186"/>
      <c r="F28" s="186"/>
      <c r="G28" s="186"/>
      <c r="H28" s="187"/>
      <c r="I28" s="61">
        <v>0</v>
      </c>
      <c r="J28" s="17" t="s">
        <v>3</v>
      </c>
      <c r="K28" s="1"/>
    </row>
    <row r="29" spans="1:11" x14ac:dyDescent="0.25">
      <c r="A29" s="1"/>
      <c r="B29" s="170"/>
      <c r="C29" s="171"/>
      <c r="D29" s="171"/>
      <c r="E29" s="171"/>
      <c r="F29" s="171"/>
      <c r="G29" s="171"/>
      <c r="H29" s="171"/>
      <c r="I29" s="171"/>
      <c r="J29" s="172"/>
      <c r="K29" s="1"/>
    </row>
    <row r="30" spans="1:11" x14ac:dyDescent="0.25">
      <c r="A30" s="1"/>
      <c r="B30" s="1"/>
      <c r="C30" s="1"/>
      <c r="D30" s="1"/>
      <c r="E30" s="1"/>
      <c r="F30" s="1"/>
      <c r="G30" s="1"/>
      <c r="H30" s="1"/>
      <c r="I30" s="1"/>
      <c r="J30" s="1"/>
      <c r="K30" s="1"/>
    </row>
    <row r="31" spans="1:11" ht="28.5" customHeight="1" x14ac:dyDescent="0.25">
      <c r="A31" s="1"/>
      <c r="B31" s="170" t="s">
        <v>249</v>
      </c>
      <c r="C31" s="171"/>
      <c r="D31" s="171"/>
      <c r="E31" s="171"/>
      <c r="F31" s="171"/>
      <c r="G31" s="171"/>
      <c r="H31" s="171"/>
      <c r="I31" s="155" t="s">
        <v>298</v>
      </c>
      <c r="J31" s="156"/>
      <c r="K31" s="1"/>
    </row>
    <row r="32" spans="1:11" x14ac:dyDescent="0.25">
      <c r="A32" s="1"/>
      <c r="B32" s="182" t="s">
        <v>139</v>
      </c>
      <c r="C32" s="183"/>
      <c r="D32" s="183"/>
      <c r="E32" s="183"/>
      <c r="F32" s="183"/>
      <c r="G32" s="183"/>
      <c r="H32" s="184"/>
      <c r="I32" s="62">
        <v>0</v>
      </c>
      <c r="J32" s="14" t="s">
        <v>3</v>
      </c>
      <c r="K32" s="1"/>
    </row>
    <row r="33" spans="1:11" x14ac:dyDescent="0.25">
      <c r="A33" s="1"/>
      <c r="B33" s="182" t="s">
        <v>99</v>
      </c>
      <c r="C33" s="183"/>
      <c r="D33" s="183"/>
      <c r="E33" s="183"/>
      <c r="F33" s="183"/>
      <c r="G33" s="183"/>
      <c r="H33" s="184"/>
      <c r="I33" s="9">
        <v>4</v>
      </c>
      <c r="J33" s="14" t="s">
        <v>20</v>
      </c>
      <c r="K33" s="1"/>
    </row>
    <row r="34" spans="1:11" x14ac:dyDescent="0.25">
      <c r="A34" s="1"/>
      <c r="B34" s="185" t="s">
        <v>140</v>
      </c>
      <c r="C34" s="186"/>
      <c r="D34" s="186"/>
      <c r="E34" s="186"/>
      <c r="F34" s="186"/>
      <c r="G34" s="186"/>
      <c r="H34" s="187"/>
      <c r="I34" s="61">
        <f>I32/I33</f>
        <v>0</v>
      </c>
      <c r="J34" s="17" t="s">
        <v>3</v>
      </c>
      <c r="K34" s="1"/>
    </row>
    <row r="35" spans="1:11" x14ac:dyDescent="0.25">
      <c r="A35" s="1"/>
      <c r="B35" s="179"/>
      <c r="C35" s="180"/>
      <c r="D35" s="180"/>
      <c r="E35" s="180"/>
      <c r="F35" s="180"/>
      <c r="G35" s="180"/>
      <c r="H35" s="180"/>
      <c r="I35" s="180"/>
      <c r="J35" s="181"/>
      <c r="K35" s="1"/>
    </row>
    <row r="36" spans="1:11" x14ac:dyDescent="0.25">
      <c r="A36" s="1"/>
      <c r="B36" s="1"/>
      <c r="C36" s="1"/>
      <c r="D36" s="1"/>
      <c r="E36" s="1"/>
      <c r="F36" s="1"/>
      <c r="G36" s="1"/>
      <c r="H36" s="1"/>
      <c r="I36" s="1"/>
      <c r="J36" s="1"/>
      <c r="K36" s="1"/>
    </row>
    <row r="37" spans="1:11" x14ac:dyDescent="0.25">
      <c r="A37" s="1"/>
      <c r="B37" s="1"/>
      <c r="C37" s="1"/>
      <c r="D37" s="1"/>
      <c r="E37" s="1"/>
      <c r="F37" s="1"/>
      <c r="G37" s="1"/>
      <c r="H37" s="1"/>
      <c r="I37" s="1"/>
      <c r="J37" s="1"/>
      <c r="K37" s="1"/>
    </row>
    <row r="38" spans="1:11" x14ac:dyDescent="0.25">
      <c r="B38" s="45"/>
      <c r="C38" s="45"/>
      <c r="D38" s="45"/>
      <c r="E38" s="45"/>
      <c r="F38" s="45"/>
      <c r="G38" s="45"/>
      <c r="H38" s="45"/>
      <c r="I38" s="45"/>
      <c r="J38" s="45"/>
    </row>
    <row r="39" spans="1:11" x14ac:dyDescent="0.25">
      <c r="A39" s="45"/>
      <c r="B39" s="45"/>
      <c r="C39" s="45"/>
      <c r="D39" s="45"/>
      <c r="E39" s="45"/>
      <c r="F39" s="45"/>
      <c r="G39" s="45"/>
      <c r="H39" s="45"/>
      <c r="I39" s="45"/>
      <c r="J39" s="45"/>
      <c r="K39" s="45"/>
    </row>
    <row r="40" spans="1:11" x14ac:dyDescent="0.25">
      <c r="A40" s="45"/>
      <c r="B40" s="45"/>
      <c r="C40" s="45"/>
      <c r="D40" s="45"/>
      <c r="E40" s="45"/>
      <c r="F40" s="45"/>
      <c r="G40" s="45"/>
      <c r="H40" s="45"/>
      <c r="I40" s="45"/>
      <c r="J40" s="45"/>
      <c r="K40" s="45"/>
    </row>
  </sheetData>
  <sheetProtection algorithmName="SHA-512" hashValue="J+9zoWd4gWI2ryh3OZv5MwHlmRdqlv9LxIm7TLtqZZIwEeSKJ2zsgFeDffT3iVvNCbechkFGgPi0xBlxE0R+pQ==" saltValue="J1GDemFo6wDex+aOZfSZDA==" spinCount="100000" sheet="1" objects="1" scenarios="1"/>
  <mergeCells count="27">
    <mergeCell ref="B35:J35"/>
    <mergeCell ref="B18:J18"/>
    <mergeCell ref="B27:J27"/>
    <mergeCell ref="E20:F20"/>
    <mergeCell ref="G20:H20"/>
    <mergeCell ref="I20:J20"/>
    <mergeCell ref="B32:H32"/>
    <mergeCell ref="B33:H33"/>
    <mergeCell ref="B34:H34"/>
    <mergeCell ref="B28:H28"/>
    <mergeCell ref="B23:D23"/>
    <mergeCell ref="B24:D24"/>
    <mergeCell ref="B31:H31"/>
    <mergeCell ref="I31:J31"/>
    <mergeCell ref="B15:D15"/>
    <mergeCell ref="B16:D16"/>
    <mergeCell ref="B29:J29"/>
    <mergeCell ref="B3:J4"/>
    <mergeCell ref="B9:D9"/>
    <mergeCell ref="B10:D10"/>
    <mergeCell ref="B12:J12"/>
    <mergeCell ref="E8:F8"/>
    <mergeCell ref="G8:H8"/>
    <mergeCell ref="I8:J8"/>
    <mergeCell ref="E14:F14"/>
    <mergeCell ref="G14:H14"/>
    <mergeCell ref="I14:J14"/>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58" customWidth="1"/>
    <col min="2" max="2" width="22.5703125" style="58" customWidth="1"/>
    <col min="3" max="3" width="8.28515625" style="58" customWidth="1"/>
    <col min="4" max="6" width="10.7109375" style="58" customWidth="1"/>
    <col min="7" max="7" width="11.140625" style="58" customWidth="1"/>
    <col min="8" max="8" width="3.28515625" style="58" customWidth="1"/>
    <col min="9" max="9" width="4.85546875" style="58" customWidth="1"/>
    <col min="10" max="16384" width="9.140625" style="5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57" t="s">
        <v>235</v>
      </c>
      <c r="C3" s="157"/>
      <c r="D3" s="157"/>
      <c r="E3" s="157"/>
      <c r="F3" s="157"/>
      <c r="G3" s="157"/>
      <c r="H3" s="157"/>
      <c r="I3" s="1"/>
    </row>
    <row r="4" spans="1:9" ht="15" customHeight="1" x14ac:dyDescent="0.25">
      <c r="A4" s="1"/>
      <c r="B4" s="157"/>
      <c r="C4" s="157"/>
      <c r="D4" s="157"/>
      <c r="E4" s="157"/>
      <c r="F4" s="157"/>
      <c r="G4" s="157"/>
      <c r="H4" s="15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70" t="s">
        <v>288</v>
      </c>
      <c r="C8" s="171"/>
      <c r="D8" s="171"/>
      <c r="E8" s="171"/>
      <c r="F8" s="171"/>
      <c r="G8" s="171"/>
      <c r="H8" s="172"/>
      <c r="I8" s="1"/>
    </row>
    <row r="9" spans="1:9" ht="15" customHeight="1" x14ac:dyDescent="0.25">
      <c r="A9" s="1"/>
      <c r="B9" s="194" t="s">
        <v>236</v>
      </c>
      <c r="C9" s="195"/>
      <c r="D9" s="195"/>
      <c r="E9" s="195"/>
      <c r="F9" s="195"/>
      <c r="G9" s="195"/>
      <c r="H9" s="196"/>
      <c r="I9" s="1"/>
    </row>
    <row r="10" spans="1:9" x14ac:dyDescent="0.25">
      <c r="A10" s="1"/>
      <c r="B10" s="191" t="s">
        <v>258</v>
      </c>
      <c r="C10" s="192"/>
      <c r="D10" s="192"/>
      <c r="E10" s="192"/>
      <c r="F10" s="193"/>
      <c r="G10" s="9">
        <v>0</v>
      </c>
      <c r="H10" s="9" t="s">
        <v>3</v>
      </c>
      <c r="I10" s="1"/>
    </row>
    <row r="11" spans="1:9" x14ac:dyDescent="0.25">
      <c r="A11" s="1"/>
      <c r="B11" s="191" t="s">
        <v>259</v>
      </c>
      <c r="C11" s="192"/>
      <c r="D11" s="192"/>
      <c r="E11" s="192"/>
      <c r="F11" s="193"/>
      <c r="G11" s="9">
        <v>0</v>
      </c>
      <c r="H11" s="9" t="s">
        <v>3</v>
      </c>
      <c r="I11" s="1"/>
    </row>
    <row r="12" spans="1:9" x14ac:dyDescent="0.25">
      <c r="A12" s="1"/>
      <c r="B12" s="191" t="s">
        <v>260</v>
      </c>
      <c r="C12" s="192"/>
      <c r="D12" s="192"/>
      <c r="E12" s="192"/>
      <c r="F12" s="193"/>
      <c r="G12" s="9">
        <v>0</v>
      </c>
      <c r="H12" s="9" t="s">
        <v>3</v>
      </c>
      <c r="I12" s="1"/>
    </row>
    <row r="13" spans="1:9" x14ac:dyDescent="0.25">
      <c r="A13" s="1"/>
      <c r="B13" s="191" t="s">
        <v>261</v>
      </c>
      <c r="C13" s="192"/>
      <c r="D13" s="192"/>
      <c r="E13" s="192"/>
      <c r="F13" s="193"/>
      <c r="G13" s="9">
        <v>0</v>
      </c>
      <c r="H13" s="9" t="s">
        <v>3</v>
      </c>
      <c r="I13" s="1"/>
    </row>
    <row r="14" spans="1:9" x14ac:dyDescent="0.25">
      <c r="A14" s="1"/>
      <c r="B14" s="191" t="s">
        <v>262</v>
      </c>
      <c r="C14" s="192"/>
      <c r="D14" s="192"/>
      <c r="E14" s="192"/>
      <c r="F14" s="193"/>
      <c r="G14" s="9">
        <v>0</v>
      </c>
      <c r="H14" s="9" t="s">
        <v>3</v>
      </c>
      <c r="I14" s="1"/>
    </row>
    <row r="15" spans="1:9" x14ac:dyDescent="0.25">
      <c r="A15" s="1"/>
      <c r="B15" s="191" t="s">
        <v>263</v>
      </c>
      <c r="C15" s="192"/>
      <c r="D15" s="192"/>
      <c r="E15" s="192"/>
      <c r="F15" s="193"/>
      <c r="G15" s="9">
        <v>0</v>
      </c>
      <c r="H15" s="9" t="s">
        <v>3</v>
      </c>
      <c r="I15" s="1"/>
    </row>
    <row r="16" spans="1:9" x14ac:dyDescent="0.25">
      <c r="A16" s="1"/>
      <c r="B16" s="191" t="s">
        <v>264</v>
      </c>
      <c r="C16" s="192"/>
      <c r="D16" s="192"/>
      <c r="E16" s="192"/>
      <c r="F16" s="193"/>
      <c r="G16" s="9">
        <v>0</v>
      </c>
      <c r="H16" s="9" t="s">
        <v>3</v>
      </c>
      <c r="I16" s="1"/>
    </row>
    <row r="17" spans="1:9" x14ac:dyDescent="0.25">
      <c r="A17" s="1"/>
      <c r="B17" s="191" t="s">
        <v>265</v>
      </c>
      <c r="C17" s="192"/>
      <c r="D17" s="192"/>
      <c r="E17" s="192"/>
      <c r="F17" s="193"/>
      <c r="G17" s="9">
        <v>0</v>
      </c>
      <c r="H17" s="9" t="s">
        <v>3</v>
      </c>
      <c r="I17" s="1"/>
    </row>
    <row r="18" spans="1:9" x14ac:dyDescent="0.25">
      <c r="A18" s="1"/>
      <c r="B18" s="170" t="s">
        <v>237</v>
      </c>
      <c r="C18" s="171"/>
      <c r="D18" s="171"/>
      <c r="E18" s="171"/>
      <c r="F18" s="172"/>
      <c r="G18" s="12">
        <f>SUM(G10:G17)</f>
        <v>0</v>
      </c>
      <c r="H18" s="13" t="s">
        <v>3</v>
      </c>
      <c r="I18" s="1"/>
    </row>
    <row r="19" spans="1:9" x14ac:dyDescent="0.25">
      <c r="A19" s="1"/>
      <c r="B19" s="1"/>
      <c r="C19" s="1"/>
      <c r="D19" s="1"/>
      <c r="E19" s="1"/>
      <c r="F19" s="1"/>
      <c r="G19" s="1"/>
      <c r="H19" s="1"/>
      <c r="I19" s="1"/>
    </row>
    <row r="20" spans="1:9" x14ac:dyDescent="0.25">
      <c r="A20" s="1"/>
      <c r="B20" s="170" t="s">
        <v>289</v>
      </c>
      <c r="C20" s="171"/>
      <c r="D20" s="171"/>
      <c r="E20" s="171"/>
      <c r="F20" s="171"/>
      <c r="G20" s="171"/>
      <c r="H20" s="172"/>
      <c r="I20" s="1"/>
    </row>
    <row r="21" spans="1:9" x14ac:dyDescent="0.25">
      <c r="A21" s="1"/>
      <c r="B21" s="194" t="s">
        <v>236</v>
      </c>
      <c r="C21" s="195"/>
      <c r="D21" s="195"/>
      <c r="E21" s="195"/>
      <c r="F21" s="195"/>
      <c r="G21" s="195"/>
      <c r="H21" s="196"/>
      <c r="I21" s="1"/>
    </row>
    <row r="22" spans="1:9" x14ac:dyDescent="0.25">
      <c r="A22" s="1"/>
      <c r="B22" s="191" t="s">
        <v>258</v>
      </c>
      <c r="C22" s="192"/>
      <c r="D22" s="192"/>
      <c r="E22" s="192"/>
      <c r="F22" s="193"/>
      <c r="G22" s="9">
        <v>0</v>
      </c>
      <c r="H22" s="9" t="s">
        <v>3</v>
      </c>
      <c r="I22" s="1"/>
    </row>
    <row r="23" spans="1:9" x14ac:dyDescent="0.25">
      <c r="A23" s="1"/>
      <c r="B23" s="191" t="s">
        <v>259</v>
      </c>
      <c r="C23" s="192"/>
      <c r="D23" s="192"/>
      <c r="E23" s="192"/>
      <c r="F23" s="193"/>
      <c r="G23" s="9">
        <v>0</v>
      </c>
      <c r="H23" s="9" t="s">
        <v>3</v>
      </c>
      <c r="I23" s="1"/>
    </row>
    <row r="24" spans="1:9" x14ac:dyDescent="0.25">
      <c r="A24" s="1"/>
      <c r="B24" s="191" t="s">
        <v>260</v>
      </c>
      <c r="C24" s="192"/>
      <c r="D24" s="192"/>
      <c r="E24" s="192"/>
      <c r="F24" s="193"/>
      <c r="G24" s="9">
        <v>0</v>
      </c>
      <c r="H24" s="9" t="s">
        <v>3</v>
      </c>
      <c r="I24" s="1"/>
    </row>
    <row r="25" spans="1:9" x14ac:dyDescent="0.25">
      <c r="A25" s="1"/>
      <c r="B25" s="191" t="s">
        <v>261</v>
      </c>
      <c r="C25" s="192"/>
      <c r="D25" s="192"/>
      <c r="E25" s="192"/>
      <c r="F25" s="193"/>
      <c r="G25" s="9">
        <v>0</v>
      </c>
      <c r="H25" s="9" t="s">
        <v>3</v>
      </c>
      <c r="I25" s="1"/>
    </row>
    <row r="26" spans="1:9" x14ac:dyDescent="0.25">
      <c r="A26" s="1"/>
      <c r="B26" s="191" t="s">
        <v>262</v>
      </c>
      <c r="C26" s="192"/>
      <c r="D26" s="192"/>
      <c r="E26" s="192"/>
      <c r="F26" s="193"/>
      <c r="G26" s="9">
        <v>0</v>
      </c>
      <c r="H26" s="9" t="s">
        <v>3</v>
      </c>
      <c r="I26" s="1"/>
    </row>
    <row r="27" spans="1:9" x14ac:dyDescent="0.25">
      <c r="A27" s="1"/>
      <c r="B27" s="191" t="s">
        <v>263</v>
      </c>
      <c r="C27" s="192"/>
      <c r="D27" s="192"/>
      <c r="E27" s="192"/>
      <c r="F27" s="193"/>
      <c r="G27" s="9">
        <v>0</v>
      </c>
      <c r="H27" s="9" t="s">
        <v>3</v>
      </c>
      <c r="I27" s="1"/>
    </row>
    <row r="28" spans="1:9" x14ac:dyDescent="0.25">
      <c r="A28" s="1"/>
      <c r="B28" s="191" t="s">
        <v>264</v>
      </c>
      <c r="C28" s="192"/>
      <c r="D28" s="192"/>
      <c r="E28" s="192"/>
      <c r="F28" s="193"/>
      <c r="G28" s="9">
        <v>0</v>
      </c>
      <c r="H28" s="9" t="s">
        <v>3</v>
      </c>
      <c r="I28" s="1"/>
    </row>
    <row r="29" spans="1:9" x14ac:dyDescent="0.25">
      <c r="A29" s="1"/>
      <c r="B29" s="191" t="s">
        <v>265</v>
      </c>
      <c r="C29" s="192"/>
      <c r="D29" s="192"/>
      <c r="E29" s="192"/>
      <c r="F29" s="193"/>
      <c r="G29" s="9">
        <v>0</v>
      </c>
      <c r="H29" s="9" t="s">
        <v>3</v>
      </c>
      <c r="I29" s="1"/>
    </row>
    <row r="30" spans="1:9" x14ac:dyDescent="0.25">
      <c r="A30" s="1"/>
      <c r="B30" s="170" t="s">
        <v>237</v>
      </c>
      <c r="C30" s="171"/>
      <c r="D30" s="171"/>
      <c r="E30" s="171"/>
      <c r="F30" s="172"/>
      <c r="G30" s="12">
        <f>SUM(G22:G29)</f>
        <v>0</v>
      </c>
      <c r="H30" s="13" t="s">
        <v>3</v>
      </c>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BC/svmtw0jww1lOzrqawfUfMbBl+YVB9k48eJzNKU1o9hwMsWspqJrGvamtoiiLVsGrEFaW+6kc3UbaxNezF8g==" saltValue="1AeEbb1uCcIZijjoS1nIGA==" spinCount="100000" sheet="1" objects="1" scenarios="1"/>
  <mergeCells count="23">
    <mergeCell ref="B17:F17"/>
    <mergeCell ref="B18:F18"/>
    <mergeCell ref="B12:F12"/>
    <mergeCell ref="B13:F13"/>
    <mergeCell ref="B14:F14"/>
    <mergeCell ref="B15:F15"/>
    <mergeCell ref="B16:F16"/>
    <mergeCell ref="B11:F11"/>
    <mergeCell ref="B10:F10"/>
    <mergeCell ref="B9:H9"/>
    <mergeCell ref="B3:H4"/>
    <mergeCell ref="B8:H8"/>
    <mergeCell ref="B20:H20"/>
    <mergeCell ref="B21:H21"/>
    <mergeCell ref="B22:F22"/>
    <mergeCell ref="B23:F23"/>
    <mergeCell ref="B24:F24"/>
    <mergeCell ref="B30:F30"/>
    <mergeCell ref="B25:F25"/>
    <mergeCell ref="B26:F26"/>
    <mergeCell ref="B27:F27"/>
    <mergeCell ref="B28:F28"/>
    <mergeCell ref="B29:F29"/>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59" t="s">
        <v>239</v>
      </c>
      <c r="C3" s="159"/>
      <c r="D3" s="159"/>
      <c r="E3" s="159"/>
      <c r="F3" s="159"/>
      <c r="G3" s="1"/>
    </row>
    <row r="4" spans="1:7" ht="15" customHeight="1" x14ac:dyDescent="0.25">
      <c r="A4" s="1"/>
      <c r="B4" s="159"/>
      <c r="C4" s="159"/>
      <c r="D4" s="159"/>
      <c r="E4" s="159"/>
      <c r="F4" s="15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70" t="s">
        <v>286</v>
      </c>
      <c r="C9" s="171"/>
      <c r="D9" s="171"/>
      <c r="E9" s="171"/>
      <c r="F9" s="172"/>
      <c r="G9" s="1"/>
    </row>
    <row r="10" spans="1:7" x14ac:dyDescent="0.25">
      <c r="A10" s="1"/>
      <c r="B10" s="160" t="s">
        <v>97</v>
      </c>
      <c r="C10" s="161"/>
      <c r="D10" s="162"/>
      <c r="E10" s="7">
        <v>0</v>
      </c>
      <c r="F10" s="8" t="s">
        <v>3</v>
      </c>
      <c r="G10" s="1"/>
    </row>
    <row r="11" spans="1:7" x14ac:dyDescent="0.25">
      <c r="A11" s="1"/>
      <c r="B11" s="164" t="s">
        <v>198</v>
      </c>
      <c r="C11" s="165"/>
      <c r="D11" s="166"/>
      <c r="E11" s="7">
        <v>0</v>
      </c>
      <c r="F11" s="8" t="s">
        <v>3</v>
      </c>
      <c r="G11" s="1"/>
    </row>
    <row r="12" spans="1:7" x14ac:dyDescent="0.25">
      <c r="A12" s="1"/>
      <c r="B12" s="185" t="s">
        <v>98</v>
      </c>
      <c r="C12" s="186"/>
      <c r="D12" s="187"/>
      <c r="E12" s="10">
        <f>E11-E10</f>
        <v>0</v>
      </c>
      <c r="F12" s="11" t="s">
        <v>3</v>
      </c>
      <c r="G12" s="1"/>
    </row>
    <row r="13" spans="1:7" x14ac:dyDescent="0.25">
      <c r="A13" s="1"/>
      <c r="B13" s="170" t="s">
        <v>92</v>
      </c>
      <c r="C13" s="171"/>
      <c r="D13" s="171"/>
      <c r="E13" s="171"/>
      <c r="F13" s="172"/>
      <c r="G13" s="1"/>
    </row>
    <row r="14" spans="1:7" x14ac:dyDescent="0.25">
      <c r="A14" s="1"/>
      <c r="B14" s="164" t="s">
        <v>199</v>
      </c>
      <c r="C14" s="165"/>
      <c r="D14" s="166"/>
      <c r="E14" s="9">
        <v>0</v>
      </c>
      <c r="F14" s="8" t="s">
        <v>3</v>
      </c>
      <c r="G14" s="1"/>
    </row>
    <row r="15" spans="1:7" x14ac:dyDescent="0.25">
      <c r="A15" s="1"/>
      <c r="B15" s="160" t="s">
        <v>200</v>
      </c>
      <c r="C15" s="161"/>
      <c r="D15" s="162"/>
      <c r="E15" s="9">
        <v>0</v>
      </c>
      <c r="F15" s="8" t="s">
        <v>3</v>
      </c>
      <c r="G15" s="1"/>
    </row>
    <row r="16" spans="1:7" x14ac:dyDescent="0.25">
      <c r="A16" s="1"/>
      <c r="B16" s="185" t="s">
        <v>98</v>
      </c>
      <c r="C16" s="186"/>
      <c r="D16" s="187"/>
      <c r="E16" s="10">
        <f>E15-E14</f>
        <v>0</v>
      </c>
      <c r="F16" s="11" t="s">
        <v>3</v>
      </c>
      <c r="G16" s="1"/>
    </row>
    <row r="17" spans="1:7" x14ac:dyDescent="0.25">
      <c r="A17" s="1"/>
      <c r="B17" s="32" t="s">
        <v>201</v>
      </c>
      <c r="C17" s="27"/>
      <c r="D17" s="27"/>
      <c r="E17" s="12">
        <f>E12+E16</f>
        <v>0</v>
      </c>
      <c r="F17" s="13" t="s">
        <v>3</v>
      </c>
      <c r="G17" s="1"/>
    </row>
    <row r="18" spans="1:7" x14ac:dyDescent="0.25">
      <c r="A18" s="1"/>
      <c r="B18" s="1"/>
      <c r="C18" s="1"/>
      <c r="D18" s="1"/>
      <c r="E18" s="1"/>
      <c r="F18" s="1"/>
      <c r="G18" s="1"/>
    </row>
    <row r="19" spans="1:7" x14ac:dyDescent="0.25">
      <c r="A19" s="1"/>
      <c r="B19" s="170" t="s">
        <v>287</v>
      </c>
      <c r="C19" s="171"/>
      <c r="D19" s="171"/>
      <c r="E19" s="171"/>
      <c r="F19" s="172"/>
      <c r="G19" s="1"/>
    </row>
    <row r="20" spans="1:7" x14ac:dyDescent="0.25">
      <c r="A20" s="1"/>
      <c r="B20" s="160" t="s">
        <v>97</v>
      </c>
      <c r="C20" s="161"/>
      <c r="D20" s="162"/>
      <c r="E20" s="7">
        <v>0</v>
      </c>
      <c r="F20" s="8" t="s">
        <v>3</v>
      </c>
      <c r="G20" s="1"/>
    </row>
    <row r="21" spans="1:7" x14ac:dyDescent="0.25">
      <c r="A21" s="1"/>
      <c r="B21" s="164" t="s">
        <v>198</v>
      </c>
      <c r="C21" s="165"/>
      <c r="D21" s="166"/>
      <c r="E21" s="7">
        <v>0</v>
      </c>
      <c r="F21" s="8" t="s">
        <v>3</v>
      </c>
      <c r="G21" s="1"/>
    </row>
    <row r="22" spans="1:7" x14ac:dyDescent="0.25">
      <c r="A22" s="1"/>
      <c r="B22" s="185" t="s">
        <v>98</v>
      </c>
      <c r="C22" s="186"/>
      <c r="D22" s="187"/>
      <c r="E22" s="10">
        <f>E21-E20</f>
        <v>0</v>
      </c>
      <c r="F22" s="11" t="s">
        <v>3</v>
      </c>
      <c r="G22" s="1"/>
    </row>
    <row r="23" spans="1:7" x14ac:dyDescent="0.25">
      <c r="A23" s="1"/>
      <c r="B23" s="170" t="s">
        <v>92</v>
      </c>
      <c r="C23" s="171"/>
      <c r="D23" s="171"/>
      <c r="E23" s="171"/>
      <c r="F23" s="172"/>
      <c r="G23" s="1"/>
    </row>
    <row r="24" spans="1:7" x14ac:dyDescent="0.25">
      <c r="A24" s="1"/>
      <c r="B24" s="164" t="s">
        <v>199</v>
      </c>
      <c r="C24" s="165"/>
      <c r="D24" s="166"/>
      <c r="E24" s="9">
        <v>0</v>
      </c>
      <c r="F24" s="8" t="s">
        <v>3</v>
      </c>
      <c r="G24" s="1"/>
    </row>
    <row r="25" spans="1:7" x14ac:dyDescent="0.25">
      <c r="A25" s="1"/>
      <c r="B25" s="160" t="s">
        <v>200</v>
      </c>
      <c r="C25" s="161"/>
      <c r="D25" s="162"/>
      <c r="E25" s="9">
        <v>0</v>
      </c>
      <c r="F25" s="8" t="s">
        <v>3</v>
      </c>
      <c r="G25" s="1"/>
    </row>
    <row r="26" spans="1:7" x14ac:dyDescent="0.25">
      <c r="A26" s="1"/>
      <c r="B26" s="185" t="s">
        <v>98</v>
      </c>
      <c r="C26" s="186"/>
      <c r="D26" s="187"/>
      <c r="E26" s="10">
        <f>E25-E24</f>
        <v>0</v>
      </c>
      <c r="F26" s="11" t="s">
        <v>3</v>
      </c>
      <c r="G26" s="1"/>
    </row>
    <row r="27" spans="1:7" x14ac:dyDescent="0.25">
      <c r="A27" s="1"/>
      <c r="B27" s="32" t="s">
        <v>201</v>
      </c>
      <c r="C27" s="27"/>
      <c r="D27" s="27"/>
      <c r="E27" s="12">
        <f>E22+E26</f>
        <v>0</v>
      </c>
      <c r="F27" s="13"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3OKh85E5UXdOzWB55dZsXx6SfO+g2LOHB334mpehD/WMv43MU5WdOj7baEalpXEB0W1ubSB01abgnWcL8WIbBA==" saltValue="iOh3GRlnk0AbaA5xjjwZOg==" spinCount="100000" sheet="1" objects="1" scenarios="1"/>
  <mergeCells count="17">
    <mergeCell ref="B13:F13"/>
    <mergeCell ref="B16:D16"/>
    <mergeCell ref="B3:F4"/>
    <mergeCell ref="B10:D10"/>
    <mergeCell ref="B11:D11"/>
    <mergeCell ref="B14:D14"/>
    <mergeCell ref="B15:D15"/>
    <mergeCell ref="B9:F9"/>
    <mergeCell ref="B12:D12"/>
    <mergeCell ref="B24:D24"/>
    <mergeCell ref="B25:D25"/>
    <mergeCell ref="B26:D26"/>
    <mergeCell ref="B19:F19"/>
    <mergeCell ref="B20:D20"/>
    <mergeCell ref="B21:D21"/>
    <mergeCell ref="B22:D22"/>
    <mergeCell ref="B23:F23"/>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7"/>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57" t="s">
        <v>240</v>
      </c>
      <c r="C3" s="157"/>
      <c r="D3" s="157"/>
      <c r="E3" s="157"/>
      <c r="F3" s="157"/>
      <c r="G3" s="157"/>
      <c r="H3" s="157"/>
      <c r="I3" s="157"/>
      <c r="J3" s="157"/>
      <c r="K3" s="157"/>
      <c r="L3" s="1"/>
    </row>
    <row r="4" spans="1:12" ht="15" customHeight="1" x14ac:dyDescent="0.25">
      <c r="A4" s="1"/>
      <c r="B4" s="157"/>
      <c r="C4" s="157"/>
      <c r="D4" s="157"/>
      <c r="E4" s="157"/>
      <c r="F4" s="157"/>
      <c r="G4" s="157"/>
      <c r="H4" s="157"/>
      <c r="I4" s="157"/>
      <c r="J4" s="157"/>
      <c r="K4" s="15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70" t="s">
        <v>284</v>
      </c>
      <c r="C8" s="171"/>
      <c r="D8" s="171"/>
      <c r="E8" s="171"/>
      <c r="F8" s="171"/>
      <c r="G8" s="171"/>
      <c r="H8" s="171"/>
      <c r="I8" s="171"/>
      <c r="J8" s="171"/>
      <c r="K8" s="172"/>
      <c r="L8" s="1"/>
    </row>
    <row r="9" spans="1:12" ht="39.75" customHeight="1" x14ac:dyDescent="0.25">
      <c r="A9" s="1"/>
      <c r="B9" s="18" t="s">
        <v>0</v>
      </c>
      <c r="C9" s="18" t="s">
        <v>1</v>
      </c>
      <c r="D9" s="197" t="s">
        <v>230</v>
      </c>
      <c r="E9" s="198"/>
      <c r="F9" s="197" t="s">
        <v>2</v>
      </c>
      <c r="G9" s="198"/>
      <c r="H9" s="197" t="s">
        <v>229</v>
      </c>
      <c r="I9" s="198"/>
      <c r="J9" s="197" t="s">
        <v>30</v>
      </c>
      <c r="K9" s="198"/>
      <c r="L9" s="1"/>
    </row>
    <row r="10" spans="1:12" x14ac:dyDescent="0.25">
      <c r="A10" s="1"/>
      <c r="B10" s="80" t="s">
        <v>257</v>
      </c>
      <c r="C10" s="41">
        <v>0</v>
      </c>
      <c r="D10" s="9">
        <v>0</v>
      </c>
      <c r="E10" s="14" t="s">
        <v>3</v>
      </c>
      <c r="F10" s="9">
        <f>IFERROR(D10/C10,0)</f>
        <v>0</v>
      </c>
      <c r="G10" s="14" t="s">
        <v>3</v>
      </c>
      <c r="H10" s="43">
        <v>0</v>
      </c>
      <c r="I10" s="14" t="s">
        <v>3</v>
      </c>
      <c r="J10" s="43">
        <v>0</v>
      </c>
      <c r="K10" s="14" t="s">
        <v>3</v>
      </c>
      <c r="L10" s="1"/>
    </row>
    <row r="11" spans="1:12" x14ac:dyDescent="0.25">
      <c r="A11" s="1"/>
      <c r="B11" s="72" t="s">
        <v>208</v>
      </c>
      <c r="C11" s="73"/>
      <c r="D11" s="74"/>
      <c r="E11" s="74"/>
      <c r="F11" s="12">
        <f>SUM(F10:F10)</f>
        <v>0</v>
      </c>
      <c r="G11" s="12" t="s">
        <v>228</v>
      </c>
      <c r="H11" s="12">
        <f>SUM(H10:H10)</f>
        <v>0</v>
      </c>
      <c r="I11" s="12" t="s">
        <v>228</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70" t="s">
        <v>285</v>
      </c>
      <c r="C13" s="171"/>
      <c r="D13" s="171"/>
      <c r="E13" s="171"/>
      <c r="F13" s="171"/>
      <c r="G13" s="171"/>
      <c r="H13" s="171"/>
      <c r="I13" s="171"/>
      <c r="J13" s="171"/>
      <c r="K13" s="172"/>
      <c r="L13" s="1"/>
    </row>
    <row r="14" spans="1:12" ht="39" x14ac:dyDescent="0.25">
      <c r="A14" s="1"/>
      <c r="B14" s="18" t="s">
        <v>0</v>
      </c>
      <c r="C14" s="18" t="s">
        <v>1</v>
      </c>
      <c r="D14" s="197" t="s">
        <v>230</v>
      </c>
      <c r="E14" s="198"/>
      <c r="F14" s="197" t="s">
        <v>2</v>
      </c>
      <c r="G14" s="198"/>
      <c r="H14" s="197" t="s">
        <v>229</v>
      </c>
      <c r="I14" s="198"/>
      <c r="J14" s="197" t="s">
        <v>30</v>
      </c>
      <c r="K14" s="198"/>
      <c r="L14" s="1"/>
    </row>
    <row r="15" spans="1:12" x14ac:dyDescent="0.25">
      <c r="A15" s="1"/>
      <c r="B15" s="89" t="s">
        <v>257</v>
      </c>
      <c r="C15" s="41">
        <v>0</v>
      </c>
      <c r="D15" s="9">
        <v>0</v>
      </c>
      <c r="E15" s="14" t="s">
        <v>3</v>
      </c>
      <c r="F15" s="9">
        <f>IFERROR(D15/C15,0)</f>
        <v>0</v>
      </c>
      <c r="G15" s="14" t="s">
        <v>3</v>
      </c>
      <c r="H15" s="43">
        <v>0</v>
      </c>
      <c r="I15" s="14" t="s">
        <v>3</v>
      </c>
      <c r="J15" s="43">
        <v>0</v>
      </c>
      <c r="K15" s="14" t="s">
        <v>3</v>
      </c>
      <c r="L15" s="1"/>
    </row>
    <row r="16" spans="1:12" x14ac:dyDescent="0.25">
      <c r="A16" s="1"/>
      <c r="B16" s="84" t="s">
        <v>208</v>
      </c>
      <c r="C16" s="85"/>
      <c r="D16" s="86"/>
      <c r="E16" s="86"/>
      <c r="F16" s="12">
        <f>SUM(F15:F15)</f>
        <v>0</v>
      </c>
      <c r="G16" s="12" t="s">
        <v>228</v>
      </c>
      <c r="H16" s="12">
        <f>SUM(H15:H15)</f>
        <v>0</v>
      </c>
      <c r="I16" s="12" t="s">
        <v>228</v>
      </c>
      <c r="J16" s="12">
        <f>SUM(J15:J15)</f>
        <v>0</v>
      </c>
      <c r="K16" s="13" t="s">
        <v>3</v>
      </c>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sheetData>
  <sheetProtection algorithmName="SHA-512" hashValue="J2nu8Z9du5Q4RnqjHR3si7E2vvB3/jmxWNQKyzsH2e8fZD4oETBZmafLKIK+ZvMTEPVbXleIwYUAmnauVwonXQ==" saltValue="Q8/8jJGOM9k+yZnbOouBYQ==" spinCount="100000" sheet="1" objects="1" scenarios="1"/>
  <mergeCells count="11">
    <mergeCell ref="B3:K4"/>
    <mergeCell ref="B8:K8"/>
    <mergeCell ref="F9:G9"/>
    <mergeCell ref="H9:I9"/>
    <mergeCell ref="J9:K9"/>
    <mergeCell ref="D9:E9"/>
    <mergeCell ref="B13:K13"/>
    <mergeCell ref="D14:E14"/>
    <mergeCell ref="F14:G14"/>
    <mergeCell ref="H14:I14"/>
    <mergeCell ref="J14:K1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election activeCell="E18" activeCellId="3" sqref="E17 C18 C17 E18"/>
    </sheetView>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57" t="s">
        <v>241</v>
      </c>
      <c r="C3" s="157"/>
      <c r="D3" s="157"/>
      <c r="E3" s="157"/>
      <c r="F3" s="157"/>
      <c r="G3" s="1"/>
    </row>
    <row r="4" spans="1:7" ht="15" customHeight="1" x14ac:dyDescent="0.25">
      <c r="A4" s="1"/>
      <c r="B4" s="157"/>
      <c r="C4" s="157"/>
      <c r="D4" s="157"/>
      <c r="E4" s="157"/>
      <c r="F4" s="15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280</v>
      </c>
      <c r="C8" s="27"/>
      <c r="D8" s="27"/>
      <c r="E8" s="27"/>
      <c r="F8" s="19"/>
      <c r="G8" s="1"/>
    </row>
    <row r="9" spans="1:7" ht="17.25" customHeight="1" x14ac:dyDescent="0.25">
      <c r="A9" s="1"/>
      <c r="B9" s="70" t="s">
        <v>17</v>
      </c>
      <c r="C9" s="70" t="s">
        <v>11</v>
      </c>
      <c r="D9" s="71"/>
      <c r="E9" s="70" t="s">
        <v>31</v>
      </c>
      <c r="F9" s="31"/>
      <c r="G9" s="1"/>
    </row>
    <row r="10" spans="1:7" x14ac:dyDescent="0.25">
      <c r="A10" s="1"/>
      <c r="B10" s="23" t="s">
        <v>214</v>
      </c>
      <c r="C10" s="21">
        <f>'Fane 10. Anlægsprojekter (§ 19)'!H11</f>
        <v>0</v>
      </c>
      <c r="D10" s="14" t="s">
        <v>3</v>
      </c>
      <c r="E10" s="9">
        <f>SUM('Fane 10. Anlægsprojekter (§ 19)'!F11,'Fane 10. Anlægsprojekter (§ 19)'!J11)</f>
        <v>0</v>
      </c>
      <c r="F10" s="14" t="s">
        <v>3</v>
      </c>
      <c r="G10" s="1"/>
    </row>
    <row r="11" spans="1:7" x14ac:dyDescent="0.25">
      <c r="A11" s="1"/>
      <c r="B11" s="32" t="s">
        <v>150</v>
      </c>
      <c r="C11" s="12">
        <f>SUM(C10:C10)</f>
        <v>0</v>
      </c>
      <c r="D11" s="13" t="s">
        <v>3</v>
      </c>
      <c r="E11" s="12">
        <f>SUM(E10:E10)</f>
        <v>0</v>
      </c>
      <c r="F11" s="13" t="s">
        <v>3</v>
      </c>
      <c r="G11" s="1"/>
    </row>
    <row r="12" spans="1:7" x14ac:dyDescent="0.25">
      <c r="A12" s="1"/>
      <c r="B12" s="32" t="s">
        <v>202</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32" t="s">
        <v>281</v>
      </c>
      <c r="C14" s="27"/>
      <c r="D14" s="27"/>
      <c r="E14" s="27"/>
      <c r="F14" s="19"/>
      <c r="G14" s="1"/>
    </row>
    <row r="15" spans="1:7" x14ac:dyDescent="0.25">
      <c r="A15" s="1"/>
      <c r="B15" s="82" t="s">
        <v>17</v>
      </c>
      <c r="C15" s="82" t="s">
        <v>11</v>
      </c>
      <c r="D15" s="83"/>
      <c r="E15" s="82" t="s">
        <v>31</v>
      </c>
      <c r="F15" s="31"/>
      <c r="G15" s="1"/>
    </row>
    <row r="16" spans="1:7" x14ac:dyDescent="0.25">
      <c r="A16" s="1"/>
      <c r="B16" s="23" t="s">
        <v>214</v>
      </c>
      <c r="C16" s="21">
        <f>'Fane 10. Anlægsprojekter (§ 19)'!H17</f>
        <v>0</v>
      </c>
      <c r="D16" s="14" t="s">
        <v>3</v>
      </c>
      <c r="E16" s="9">
        <f>SUM('Fane 10. Anlægsprojekter (§ 19)'!F17,'Fane 10. Anlægsprojekter (§ 19)'!J17)</f>
        <v>0</v>
      </c>
      <c r="F16" s="14" t="s">
        <v>3</v>
      </c>
      <c r="G16" s="1"/>
    </row>
    <row r="17" spans="1:7" x14ac:dyDescent="0.25">
      <c r="A17" s="1"/>
      <c r="B17" s="23" t="s">
        <v>282</v>
      </c>
      <c r="C17" s="21">
        <v>2563461</v>
      </c>
      <c r="D17" s="14" t="s">
        <v>3</v>
      </c>
      <c r="E17" s="9">
        <v>646099</v>
      </c>
      <c r="F17" s="14" t="s">
        <v>3</v>
      </c>
      <c r="G17" s="1"/>
    </row>
    <row r="18" spans="1:7" x14ac:dyDescent="0.25">
      <c r="A18" s="1"/>
      <c r="B18" s="23" t="s">
        <v>283</v>
      </c>
      <c r="C18" s="21">
        <v>10356</v>
      </c>
      <c r="D18" s="14" t="s">
        <v>3</v>
      </c>
      <c r="E18" s="9">
        <v>630906</v>
      </c>
      <c r="F18" s="14" t="s">
        <v>3</v>
      </c>
      <c r="G18" s="1"/>
    </row>
    <row r="19" spans="1:7" x14ac:dyDescent="0.25">
      <c r="A19" s="1"/>
      <c r="B19" s="32" t="s">
        <v>150</v>
      </c>
      <c r="C19" s="12">
        <f>SUM(C16:C18)</f>
        <v>2573817</v>
      </c>
      <c r="D19" s="13" t="s">
        <v>3</v>
      </c>
      <c r="E19" s="12">
        <f>SUM(E16:E18)</f>
        <v>1277005</v>
      </c>
      <c r="F19" s="13" t="s">
        <v>3</v>
      </c>
      <c r="G19" s="1"/>
    </row>
    <row r="20" spans="1:7" x14ac:dyDescent="0.25">
      <c r="A20" s="1"/>
      <c r="B20" s="32" t="s">
        <v>202</v>
      </c>
      <c r="C20" s="12">
        <f>C19*(1+'Fane 15. Nøgletal'!C15)</f>
        <v>2665444.8852000004</v>
      </c>
      <c r="D20" s="13" t="s">
        <v>3</v>
      </c>
      <c r="E20" s="12">
        <f>E19*(1+'Fane 15. Nøgletal'!C15)</f>
        <v>1322466.378</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T3M1LBKN9sf6g28J5gIVsd+xBducNDNHil3i3GxAS1zl2SBJNZYfoFcv+2kOoiuyESGSs0Yg1wcSeCH3izyjw==" saltValue="vVOawiHXkGeDnBzp3fyio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57" t="s">
        <v>242</v>
      </c>
      <c r="C3" s="157"/>
      <c r="D3" s="157"/>
      <c r="E3" s="157"/>
      <c r="F3" s="157"/>
      <c r="G3" s="1"/>
    </row>
    <row r="4" spans="1:7" ht="15" customHeight="1" x14ac:dyDescent="0.25">
      <c r="A4" s="1"/>
      <c r="B4" s="157"/>
      <c r="C4" s="157"/>
      <c r="D4" s="157"/>
      <c r="E4" s="157"/>
      <c r="F4" s="15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70" t="s">
        <v>278</v>
      </c>
      <c r="C8" s="171"/>
      <c r="D8" s="171"/>
      <c r="E8" s="171"/>
      <c r="F8" s="172"/>
      <c r="G8" s="1"/>
    </row>
    <row r="9" spans="1:7" x14ac:dyDescent="0.25">
      <c r="A9" s="1"/>
      <c r="B9" s="70" t="s">
        <v>17</v>
      </c>
      <c r="C9" s="70" t="s">
        <v>11</v>
      </c>
      <c r="D9" s="71"/>
      <c r="E9" s="70" t="s">
        <v>31</v>
      </c>
      <c r="F9" s="31"/>
      <c r="G9" s="1"/>
    </row>
    <row r="10" spans="1:7" x14ac:dyDescent="0.25">
      <c r="A10" s="1"/>
      <c r="B10" s="23" t="s">
        <v>270</v>
      </c>
      <c r="C10" s="21">
        <v>0</v>
      </c>
      <c r="D10" s="14" t="s">
        <v>3</v>
      </c>
      <c r="E10" s="9">
        <v>0</v>
      </c>
      <c r="F10" s="14" t="s">
        <v>3</v>
      </c>
      <c r="G10" s="1"/>
    </row>
    <row r="11" spans="1:7" x14ac:dyDescent="0.25">
      <c r="A11" s="1"/>
      <c r="B11" s="32" t="s">
        <v>220</v>
      </c>
      <c r="C11" s="12">
        <f>SUM(C10:C10)</f>
        <v>0</v>
      </c>
      <c r="D11" s="13" t="s">
        <v>3</v>
      </c>
      <c r="E11" s="12">
        <f>SUM(E10:E10)</f>
        <v>0</v>
      </c>
      <c r="F11" s="13" t="s">
        <v>3</v>
      </c>
      <c r="G11" s="1"/>
    </row>
    <row r="12" spans="1:7" x14ac:dyDescent="0.25">
      <c r="A12" s="1"/>
      <c r="B12" s="32" t="s">
        <v>132</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70" t="s">
        <v>279</v>
      </c>
      <c r="C14" s="171"/>
      <c r="D14" s="171"/>
      <c r="E14" s="171"/>
      <c r="F14" s="172"/>
      <c r="G14" s="1"/>
    </row>
    <row r="15" spans="1:7" x14ac:dyDescent="0.25">
      <c r="A15" s="1"/>
      <c r="B15" s="82" t="s">
        <v>17</v>
      </c>
      <c r="C15" s="82" t="s">
        <v>11</v>
      </c>
      <c r="D15" s="83"/>
      <c r="E15" s="82" t="s">
        <v>31</v>
      </c>
      <c r="F15" s="31"/>
      <c r="G15" s="1"/>
    </row>
    <row r="16" spans="1:7" x14ac:dyDescent="0.25">
      <c r="A16" s="1"/>
      <c r="B16" s="23" t="s">
        <v>270</v>
      </c>
      <c r="C16" s="21">
        <v>0</v>
      </c>
      <c r="D16" s="14" t="s">
        <v>3</v>
      </c>
      <c r="E16" s="9">
        <v>0</v>
      </c>
      <c r="F16" s="14" t="s">
        <v>3</v>
      </c>
      <c r="G16" s="1"/>
    </row>
    <row r="17" spans="1:7" x14ac:dyDescent="0.25">
      <c r="A17" s="1"/>
      <c r="B17" s="32" t="s">
        <v>220</v>
      </c>
      <c r="C17" s="12">
        <f>SUM(C16:C16)</f>
        <v>0</v>
      </c>
      <c r="D17" s="13" t="s">
        <v>3</v>
      </c>
      <c r="E17" s="12">
        <f>SUM(E16:E16)</f>
        <v>0</v>
      </c>
      <c r="F17" s="13" t="s">
        <v>3</v>
      </c>
      <c r="G17" s="1"/>
    </row>
    <row r="18" spans="1:7" x14ac:dyDescent="0.25">
      <c r="A18" s="1"/>
      <c r="B18" s="32" t="s">
        <v>132</v>
      </c>
      <c r="C18" s="12">
        <f>C17*(1+'Fane 15. Nøgletal'!C21)^2</f>
        <v>0</v>
      </c>
      <c r="D18" s="13" t="s">
        <v>3</v>
      </c>
      <c r="E18" s="12">
        <f>E17*(1+'Fane 15. Nøgletal'!C21)^2</f>
        <v>0</v>
      </c>
      <c r="F18" s="13" t="s">
        <v>3</v>
      </c>
      <c r="G18" s="1"/>
    </row>
    <row r="19" spans="1:7" x14ac:dyDescent="0.25">
      <c r="A19" s="1"/>
      <c r="B19" s="55"/>
      <c r="C19" s="56"/>
      <c r="D19" s="57"/>
      <c r="E19" s="56"/>
      <c r="F19" s="57"/>
      <c r="G19" s="1"/>
    </row>
    <row r="20" spans="1:7" x14ac:dyDescent="0.25">
      <c r="A20" s="1"/>
      <c r="B20" s="48"/>
      <c r="C20" s="48"/>
      <c r="D20" s="48"/>
      <c r="E20" s="48"/>
      <c r="F20" s="48"/>
      <c r="G20" s="1"/>
    </row>
    <row r="21" spans="1:7" x14ac:dyDescent="0.25">
      <c r="A21" s="1"/>
      <c r="B21" s="199"/>
      <c r="C21" s="199"/>
      <c r="D21" s="199"/>
      <c r="E21" s="199"/>
      <c r="F21" s="199"/>
      <c r="G21" s="1"/>
    </row>
    <row r="22" spans="1:7" x14ac:dyDescent="0.25">
      <c r="A22" s="1"/>
      <c r="B22" s="49"/>
      <c r="C22" s="49"/>
      <c r="D22" s="49"/>
      <c r="E22" s="49"/>
      <c r="F22" s="50"/>
      <c r="G22" s="1"/>
    </row>
    <row r="23" spans="1:7" x14ac:dyDescent="0.25">
      <c r="A23" s="1"/>
      <c r="B23" s="51"/>
      <c r="C23" s="52"/>
      <c r="D23" s="53"/>
      <c r="E23" s="54"/>
      <c r="F23" s="53"/>
      <c r="G23" s="1"/>
    </row>
    <row r="24" spans="1:7" x14ac:dyDescent="0.25">
      <c r="A24" s="1"/>
      <c r="B24" s="51"/>
      <c r="C24" s="52"/>
      <c r="D24" s="53"/>
      <c r="E24" s="54"/>
      <c r="F24" s="53"/>
      <c r="G24" s="1"/>
    </row>
    <row r="25" spans="1:7" x14ac:dyDescent="0.25">
      <c r="A25" s="1"/>
      <c r="B25" s="55"/>
      <c r="C25" s="56"/>
      <c r="D25" s="57"/>
      <c r="E25" s="56"/>
      <c r="F25" s="57"/>
      <c r="G25" s="1"/>
    </row>
    <row r="26" spans="1:7" x14ac:dyDescent="0.25">
      <c r="A26" s="1"/>
      <c r="B26" s="55"/>
      <c r="C26" s="56"/>
      <c r="D26" s="57"/>
      <c r="E26" s="56"/>
      <c r="F26" s="57"/>
      <c r="G26" s="1"/>
    </row>
    <row r="27" spans="1:7" x14ac:dyDescent="0.25">
      <c r="A27" s="1"/>
      <c r="B27" s="48"/>
      <c r="C27" s="48"/>
      <c r="D27" s="48"/>
      <c r="E27" s="48"/>
      <c r="F27" s="48"/>
      <c r="G27" s="1"/>
    </row>
    <row r="28" spans="1:7" x14ac:dyDescent="0.25">
      <c r="A28" s="1"/>
      <c r="B28" s="199"/>
      <c r="C28" s="199"/>
      <c r="D28" s="199"/>
      <c r="E28" s="199"/>
      <c r="F28" s="199"/>
      <c r="G28" s="1"/>
    </row>
    <row r="29" spans="1:7" x14ac:dyDescent="0.25">
      <c r="A29" s="1"/>
      <c r="B29" s="49"/>
      <c r="C29" s="49"/>
      <c r="D29" s="49"/>
      <c r="E29" s="49"/>
      <c r="F29" s="50"/>
      <c r="G29" s="1"/>
    </row>
    <row r="30" spans="1:7" x14ac:dyDescent="0.25">
      <c r="A30" s="1"/>
      <c r="B30" s="51"/>
      <c r="C30" s="52"/>
      <c r="D30" s="53"/>
      <c r="E30" s="54"/>
      <c r="F30" s="53"/>
      <c r="G30" s="1"/>
    </row>
    <row r="31" spans="1:7" x14ac:dyDescent="0.25">
      <c r="A31" s="1"/>
      <c r="B31" s="51"/>
      <c r="C31" s="52"/>
      <c r="D31" s="53"/>
      <c r="E31" s="54"/>
      <c r="F31" s="53"/>
      <c r="G31" s="1"/>
    </row>
    <row r="32" spans="1:7" x14ac:dyDescent="0.25">
      <c r="A32" s="1"/>
      <c r="B32" s="55"/>
      <c r="C32" s="56"/>
      <c r="D32" s="57"/>
      <c r="E32" s="56"/>
      <c r="F32" s="57"/>
      <c r="G32" s="1"/>
    </row>
    <row r="33" spans="1:7" x14ac:dyDescent="0.25">
      <c r="A33" s="1"/>
      <c r="B33" s="55"/>
      <c r="C33" s="56"/>
      <c r="D33" s="57"/>
      <c r="E33" s="56"/>
      <c r="F33" s="57"/>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55"/>
      <c r="C36" s="56"/>
      <c r="D36" s="57"/>
      <c r="E36" s="56"/>
      <c r="F36" s="57"/>
      <c r="G36" s="1"/>
    </row>
    <row r="37" spans="1:7" x14ac:dyDescent="0.25">
      <c r="A37" s="1"/>
      <c r="B37" s="55"/>
      <c r="C37" s="56"/>
      <c r="D37" s="57"/>
      <c r="E37" s="56"/>
      <c r="F37" s="57"/>
      <c r="G37" s="1"/>
    </row>
    <row r="38" spans="1:7" x14ac:dyDescent="0.25">
      <c r="A38" s="1"/>
      <c r="B38" s="48"/>
      <c r="C38" s="48"/>
      <c r="D38" s="48"/>
      <c r="E38" s="48"/>
      <c r="F38" s="48"/>
      <c r="G38" s="1"/>
    </row>
    <row r="39" spans="1:7" x14ac:dyDescent="0.25">
      <c r="A39" s="1"/>
      <c r="B39" s="199"/>
      <c r="C39" s="199"/>
      <c r="D39" s="199"/>
      <c r="E39" s="199"/>
      <c r="F39" s="199"/>
      <c r="G39" s="1"/>
    </row>
    <row r="40" spans="1:7" x14ac:dyDescent="0.25">
      <c r="A40" s="1"/>
      <c r="B40" s="49"/>
      <c r="C40" s="49"/>
      <c r="D40" s="49"/>
      <c r="E40" s="49"/>
      <c r="F40" s="50"/>
      <c r="G40" s="1"/>
    </row>
    <row r="41" spans="1:7" x14ac:dyDescent="0.25">
      <c r="A41" s="1"/>
      <c r="B41" s="51"/>
      <c r="C41" s="52"/>
      <c r="D41" s="53"/>
      <c r="E41" s="54"/>
      <c r="F41" s="53"/>
      <c r="G41" s="1"/>
    </row>
    <row r="42" spans="1:7" x14ac:dyDescent="0.25">
      <c r="A42" s="1"/>
      <c r="B42" s="51"/>
      <c r="C42" s="52"/>
      <c r="D42" s="53"/>
      <c r="E42" s="54"/>
      <c r="F42" s="53"/>
      <c r="G42" s="1"/>
    </row>
    <row r="43" spans="1:7" x14ac:dyDescent="0.25">
      <c r="A43" s="1"/>
      <c r="B43" s="55"/>
      <c r="C43" s="56"/>
      <c r="D43" s="57"/>
      <c r="E43" s="56"/>
      <c r="F43" s="57"/>
      <c r="G43" s="1"/>
    </row>
    <row r="44" spans="1:7" x14ac:dyDescent="0.25">
      <c r="A44" s="1"/>
      <c r="B44" s="55"/>
      <c r="C44" s="56"/>
      <c r="D44" s="57"/>
      <c r="E44" s="56"/>
      <c r="F44" s="57"/>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ylRQshcVAhWFhP1zJgDNCHhE9U+nXUsSin30E8/e4FYtK38jxTJkxYj4k0L+Poz68ObNawSjc+whP5LgtnyG2Q==" saltValue="Ganqr7RrP0sOKmuSecn9/w==" spinCount="100000" sheet="1" objects="1" scenarios="1"/>
  <mergeCells count="6">
    <mergeCell ref="B39:F39"/>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I46"/>
  <sheetViews>
    <sheetView showGridLines="0" view="pageLayout" zoomScaleNormal="100" workbookViewId="0"/>
  </sheetViews>
  <sheetFormatPr defaultColWidth="9.140625" defaultRowHeight="15" x14ac:dyDescent="0.25"/>
  <cols>
    <col min="1" max="1" width="1.42578125" style="2" customWidth="1"/>
    <col min="2" max="2" width="31.140625" style="2" customWidth="1"/>
    <col min="3" max="3" width="16.28515625" style="2" customWidth="1"/>
    <col min="4" max="4" width="3.28515625" style="2" customWidth="1"/>
    <col min="5" max="5" width="11.85546875" style="2" customWidth="1"/>
    <col min="6" max="6" width="3" style="2" customWidth="1"/>
    <col min="7" max="7" width="11.85546875" style="2" customWidth="1"/>
    <col min="8" max="8" width="3.140625" style="2" customWidth="1"/>
    <col min="9" max="9" width="1.425781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59" t="s">
        <v>243</v>
      </c>
      <c r="C3" s="159"/>
      <c r="D3" s="159"/>
      <c r="E3" s="159"/>
      <c r="F3" s="159"/>
      <c r="G3" s="159"/>
      <c r="H3" s="159"/>
      <c r="I3" s="1"/>
    </row>
    <row r="4" spans="1:9" ht="15" customHeight="1" x14ac:dyDescent="0.25">
      <c r="A4" s="1"/>
      <c r="B4" s="159"/>
      <c r="C4" s="159"/>
      <c r="D4" s="159"/>
      <c r="E4" s="159"/>
      <c r="F4" s="159"/>
      <c r="G4" s="159"/>
      <c r="H4" s="159"/>
      <c r="I4" s="1"/>
    </row>
    <row r="5" spans="1:9" x14ac:dyDescent="0.25">
      <c r="A5" s="1"/>
      <c r="B5" s="159"/>
      <c r="C5" s="159"/>
      <c r="D5" s="159"/>
      <c r="E5" s="159"/>
      <c r="F5" s="159"/>
      <c r="G5" s="159"/>
      <c r="H5" s="159"/>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
      <c r="C8" s="1"/>
      <c r="D8" s="1"/>
      <c r="E8" s="1"/>
      <c r="F8" s="1"/>
      <c r="G8" s="1"/>
      <c r="H8" s="1"/>
      <c r="I8" s="1"/>
    </row>
    <row r="9" spans="1:9" ht="29.25" customHeight="1" x14ac:dyDescent="0.25">
      <c r="A9" s="1"/>
      <c r="B9" s="32" t="s">
        <v>90</v>
      </c>
      <c r="C9" s="27"/>
      <c r="D9" s="27"/>
      <c r="E9" s="155" t="s">
        <v>271</v>
      </c>
      <c r="F9" s="155"/>
      <c r="G9" s="155" t="s">
        <v>272</v>
      </c>
      <c r="H9" s="156"/>
      <c r="I9" s="1"/>
    </row>
    <row r="10" spans="1:9" x14ac:dyDescent="0.25">
      <c r="A10" s="1"/>
      <c r="B10" s="191" t="s">
        <v>212</v>
      </c>
      <c r="C10" s="192"/>
      <c r="D10" s="193"/>
      <c r="E10" s="9">
        <v>0</v>
      </c>
      <c r="F10" s="14" t="s">
        <v>3</v>
      </c>
      <c r="G10" s="9">
        <v>0</v>
      </c>
      <c r="H10" s="14" t="s">
        <v>3</v>
      </c>
      <c r="I10" s="1"/>
    </row>
    <row r="11" spans="1:9" x14ac:dyDescent="0.25">
      <c r="A11" s="1"/>
      <c r="B11" s="200" t="s">
        <v>10</v>
      </c>
      <c r="C11" s="201"/>
      <c r="D11" s="202"/>
      <c r="E11" s="9">
        <f>-E10*'Fane 5. Individuelt eff. krav'!E9</f>
        <v>0</v>
      </c>
      <c r="F11" s="14" t="s">
        <v>3</v>
      </c>
      <c r="G11" s="9">
        <f>-G10*'Fane 5. Individuelt eff. krav'!G9</f>
        <v>0</v>
      </c>
      <c r="H11" s="14" t="s">
        <v>3</v>
      </c>
      <c r="I11" s="1"/>
    </row>
    <row r="12" spans="1:9" x14ac:dyDescent="0.25">
      <c r="A12" s="1"/>
      <c r="B12" s="200" t="s">
        <v>24</v>
      </c>
      <c r="C12" s="201"/>
      <c r="D12" s="202"/>
      <c r="E12" s="9">
        <f>-E10*'Fane 15. Nøgletal'!A31</f>
        <v>0</v>
      </c>
      <c r="F12" s="14" t="s">
        <v>3</v>
      </c>
      <c r="G12" s="9">
        <f>-G10*'Fane 15. Nøgletal'!C31</f>
        <v>0</v>
      </c>
      <c r="H12" s="14" t="s">
        <v>3</v>
      </c>
      <c r="I12" s="1"/>
    </row>
    <row r="13" spans="1:9" x14ac:dyDescent="0.25">
      <c r="A13" s="1"/>
      <c r="B13" s="170" t="s">
        <v>91</v>
      </c>
      <c r="C13" s="171"/>
      <c r="D13" s="172"/>
      <c r="E13" s="12">
        <f>SUM(E10:E12)*(1+'Fane 15. Nøgletal'!A15)^2</f>
        <v>0</v>
      </c>
      <c r="F13" s="13" t="s">
        <v>3</v>
      </c>
      <c r="G13" s="12">
        <f>SUM(G10:G12)*(1+'Fane 15. Nøgletal'!C15)^2</f>
        <v>0</v>
      </c>
      <c r="H13" s="13" t="s">
        <v>3</v>
      </c>
      <c r="I13" s="1"/>
    </row>
    <row r="14" spans="1:9" x14ac:dyDescent="0.25">
      <c r="A14" s="1"/>
      <c r="B14" s="1"/>
      <c r="C14" s="1"/>
      <c r="D14" s="1"/>
      <c r="E14" s="1"/>
      <c r="F14" s="1"/>
      <c r="G14" s="1"/>
      <c r="H14" s="1"/>
      <c r="I14" s="1"/>
    </row>
    <row r="15" spans="1:9" ht="29.1" customHeight="1" x14ac:dyDescent="0.25">
      <c r="A15" s="1"/>
      <c r="B15" s="32" t="s">
        <v>127</v>
      </c>
      <c r="C15" s="27"/>
      <c r="D15" s="27"/>
      <c r="E15" s="155" t="s">
        <v>271</v>
      </c>
      <c r="F15" s="155"/>
      <c r="G15" s="155" t="s">
        <v>272</v>
      </c>
      <c r="H15" s="156"/>
      <c r="I15" s="1"/>
    </row>
    <row r="16" spans="1:9" x14ac:dyDescent="0.25">
      <c r="A16" s="1"/>
      <c r="B16" s="191" t="s">
        <v>212</v>
      </c>
      <c r="C16" s="192"/>
      <c r="D16" s="193"/>
      <c r="E16" s="9">
        <v>0</v>
      </c>
      <c r="F16" s="14" t="s">
        <v>3</v>
      </c>
      <c r="G16" s="9">
        <v>0</v>
      </c>
      <c r="H16" s="14" t="s">
        <v>3</v>
      </c>
      <c r="I16" s="1"/>
    </row>
    <row r="17" spans="1:9" x14ac:dyDescent="0.25">
      <c r="A17" s="1"/>
      <c r="B17" s="200" t="s">
        <v>10</v>
      </c>
      <c r="C17" s="201"/>
      <c r="D17" s="202"/>
      <c r="E17" s="9">
        <f>-E16*'Fane 5. Individuelt eff. krav'!E9</f>
        <v>0</v>
      </c>
      <c r="F17" s="14" t="s">
        <v>3</v>
      </c>
      <c r="G17" s="9">
        <f>-G16*'Fane 5. Individuelt eff. krav'!G9</f>
        <v>0</v>
      </c>
      <c r="H17" s="14" t="s">
        <v>3</v>
      </c>
      <c r="I17" s="1"/>
    </row>
    <row r="18" spans="1:9" x14ac:dyDescent="0.25">
      <c r="A18" s="1"/>
      <c r="B18" s="200" t="s">
        <v>24</v>
      </c>
      <c r="C18" s="201"/>
      <c r="D18" s="202"/>
      <c r="E18" s="9">
        <f>-E16*'Fane 15. Nøgletal'!A31</f>
        <v>0</v>
      </c>
      <c r="F18" s="14" t="s">
        <v>3</v>
      </c>
      <c r="G18" s="9">
        <f>-G16*'Fane 15. Nøgletal'!C31</f>
        <v>0</v>
      </c>
      <c r="H18" s="14" t="s">
        <v>3</v>
      </c>
      <c r="I18" s="1"/>
    </row>
    <row r="19" spans="1:9" x14ac:dyDescent="0.25">
      <c r="A19" s="1"/>
      <c r="B19" s="170" t="s">
        <v>128</v>
      </c>
      <c r="C19" s="171"/>
      <c r="D19" s="172"/>
      <c r="E19" s="12">
        <f>SUM(E16:E18)*(1+'Fane 15. Nøgletal'!A15)^3</f>
        <v>0</v>
      </c>
      <c r="F19" s="13" t="s">
        <v>3</v>
      </c>
      <c r="G19" s="12">
        <f>SUM(G16:G18)*(1+'Fane 15. Nøgletal'!C15)^3</f>
        <v>0</v>
      </c>
      <c r="H19" s="13" t="s">
        <v>3</v>
      </c>
      <c r="I19" s="1"/>
    </row>
    <row r="20" spans="1:9" x14ac:dyDescent="0.25">
      <c r="A20" s="1"/>
      <c r="B20" s="1"/>
      <c r="C20" s="1"/>
      <c r="D20" s="1"/>
      <c r="E20" s="1"/>
      <c r="F20" s="1"/>
      <c r="G20" s="1"/>
      <c r="H20" s="1"/>
      <c r="I20" s="1"/>
    </row>
    <row r="21" spans="1:9" ht="29.1" customHeight="1" x14ac:dyDescent="0.25">
      <c r="A21" s="1"/>
      <c r="B21" s="32" t="s">
        <v>151</v>
      </c>
      <c r="C21" s="27"/>
      <c r="D21" s="27"/>
      <c r="E21" s="155" t="s">
        <v>271</v>
      </c>
      <c r="F21" s="155"/>
      <c r="G21" s="155" t="s">
        <v>272</v>
      </c>
      <c r="H21" s="156"/>
      <c r="I21" s="1"/>
    </row>
    <row r="22" spans="1:9" x14ac:dyDescent="0.25">
      <c r="A22" s="1"/>
      <c r="B22" s="191" t="s">
        <v>212</v>
      </c>
      <c r="C22" s="192"/>
      <c r="D22" s="193"/>
      <c r="E22" s="9">
        <v>0</v>
      </c>
      <c r="F22" s="14" t="s">
        <v>3</v>
      </c>
      <c r="G22" s="9">
        <v>0</v>
      </c>
      <c r="H22" s="14" t="s">
        <v>3</v>
      </c>
      <c r="I22" s="1"/>
    </row>
    <row r="23" spans="1:9" x14ac:dyDescent="0.25">
      <c r="A23" s="1"/>
      <c r="B23" s="200" t="s">
        <v>10</v>
      </c>
      <c r="C23" s="201"/>
      <c r="D23" s="202"/>
      <c r="E23" s="9">
        <f>-E22*'Fane 5. Individuelt eff. krav'!E9</f>
        <v>0</v>
      </c>
      <c r="F23" s="14" t="s">
        <v>3</v>
      </c>
      <c r="G23" s="9">
        <f>-G22*'Fane 5. Individuelt eff. krav'!G9</f>
        <v>0</v>
      </c>
      <c r="H23" s="14" t="s">
        <v>3</v>
      </c>
      <c r="I23" s="1"/>
    </row>
    <row r="24" spans="1:9" x14ac:dyDescent="0.25">
      <c r="A24" s="1"/>
      <c r="B24" s="200" t="s">
        <v>24</v>
      </c>
      <c r="C24" s="201"/>
      <c r="D24" s="202"/>
      <c r="E24" s="9">
        <f>-E22*'Fane 15. Nøgletal'!A31</f>
        <v>0</v>
      </c>
      <c r="F24" s="14" t="s">
        <v>3</v>
      </c>
      <c r="G24" s="9">
        <f>-G22*'Fane 15. Nøgletal'!C31</f>
        <v>0</v>
      </c>
      <c r="H24" s="14" t="s">
        <v>3</v>
      </c>
      <c r="I24" s="1"/>
    </row>
    <row r="25" spans="1:9" x14ac:dyDescent="0.25">
      <c r="A25" s="1"/>
      <c r="B25" s="170" t="s">
        <v>152</v>
      </c>
      <c r="C25" s="171"/>
      <c r="D25" s="172"/>
      <c r="E25" s="12">
        <f>SUM(E22:E24)*(1+'Fane 15. Nøgletal'!A15)^4</f>
        <v>0</v>
      </c>
      <c r="F25" s="13" t="s">
        <v>3</v>
      </c>
      <c r="G25" s="12">
        <f>SUM(G22:G24)*(1+'Fane 15. Nøgletal'!C15)^4</f>
        <v>0</v>
      </c>
      <c r="H25" s="13" t="s">
        <v>3</v>
      </c>
      <c r="I25" s="1"/>
    </row>
    <row r="26" spans="1:9" x14ac:dyDescent="0.25">
      <c r="A26" s="1"/>
      <c r="B26" s="1"/>
      <c r="C26" s="1"/>
      <c r="D26" s="1"/>
      <c r="E26" s="1"/>
      <c r="F26" s="1"/>
      <c r="G26" s="1"/>
      <c r="H26" s="1"/>
      <c r="I26" s="1"/>
    </row>
    <row r="27" spans="1:9" ht="29.1" customHeight="1" x14ac:dyDescent="0.25">
      <c r="A27" s="1"/>
      <c r="B27" s="32" t="s">
        <v>203</v>
      </c>
      <c r="C27" s="27"/>
      <c r="D27" s="27"/>
      <c r="E27" s="155" t="s">
        <v>271</v>
      </c>
      <c r="F27" s="155"/>
      <c r="G27" s="155" t="s">
        <v>272</v>
      </c>
      <c r="H27" s="156"/>
      <c r="I27" s="1"/>
    </row>
    <row r="28" spans="1:9" ht="14.25" customHeight="1" x14ac:dyDescent="0.25">
      <c r="A28" s="1"/>
      <c r="B28" s="191" t="s">
        <v>212</v>
      </c>
      <c r="C28" s="192"/>
      <c r="D28" s="193"/>
      <c r="E28" s="9">
        <v>0</v>
      </c>
      <c r="F28" s="14" t="s">
        <v>3</v>
      </c>
      <c r="G28" s="9">
        <v>0</v>
      </c>
      <c r="H28" s="14" t="s">
        <v>3</v>
      </c>
      <c r="I28" s="1"/>
    </row>
    <row r="29" spans="1:9" x14ac:dyDescent="0.25">
      <c r="A29" s="1"/>
      <c r="B29" s="200" t="s">
        <v>10</v>
      </c>
      <c r="C29" s="201"/>
      <c r="D29" s="202"/>
      <c r="E29" s="9">
        <f>-E28*'Fane 5. Individuelt eff. krav'!E9</f>
        <v>0</v>
      </c>
      <c r="F29" s="14" t="s">
        <v>3</v>
      </c>
      <c r="G29" s="9">
        <f>-G28*'Fane 5. Individuelt eff. krav'!G9</f>
        <v>0</v>
      </c>
      <c r="H29" s="14" t="s">
        <v>3</v>
      </c>
      <c r="I29" s="1"/>
    </row>
    <row r="30" spans="1:9" x14ac:dyDescent="0.25">
      <c r="A30" s="1"/>
      <c r="B30" s="200" t="s">
        <v>24</v>
      </c>
      <c r="C30" s="201"/>
      <c r="D30" s="202"/>
      <c r="E30" s="9">
        <f>-E28*'Fane 15. Nøgletal'!A31</f>
        <v>0</v>
      </c>
      <c r="F30" s="14" t="s">
        <v>3</v>
      </c>
      <c r="G30" s="9">
        <f>-G28*'Fane 15. Nøgletal'!C31</f>
        <v>0</v>
      </c>
      <c r="H30" s="14" t="s">
        <v>3</v>
      </c>
      <c r="I30" s="1"/>
    </row>
    <row r="31" spans="1:9" x14ac:dyDescent="0.25">
      <c r="A31" s="1"/>
      <c r="B31" s="170" t="s">
        <v>204</v>
      </c>
      <c r="C31" s="171"/>
      <c r="D31" s="172"/>
      <c r="E31" s="12">
        <f>SUM(E28:E30)*(1+'Fane 15. Nøgletal'!A15)^5</f>
        <v>0</v>
      </c>
      <c r="F31" s="13" t="s">
        <v>3</v>
      </c>
      <c r="G31" s="12">
        <f>SUM(G28:G30)*(1+'Fane 15. Nøgletal'!C15)^5</f>
        <v>0</v>
      </c>
      <c r="H31" s="13" t="s">
        <v>3</v>
      </c>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sheetData>
  <sheetProtection algorithmName="SHA-512" hashValue="/nnFC4IWdrdfR5V6QG/LV4L3vZnmh7RLBW9lE/6fnMxJEXAjIu5Jws+5lsbioE87lRZj2t1s4i3feT/S11e/oQ==" saltValue="lPRIN+50nIaqNu9PUNhLAg==" spinCount="100000" sheet="1" objects="1" scenarios="1"/>
  <mergeCells count="25">
    <mergeCell ref="G27:H27"/>
    <mergeCell ref="B28:D28"/>
    <mergeCell ref="B29:D29"/>
    <mergeCell ref="B30:D30"/>
    <mergeCell ref="B31:D31"/>
    <mergeCell ref="E27:F27"/>
    <mergeCell ref="E15:F15"/>
    <mergeCell ref="G15:H15"/>
    <mergeCell ref="B25:D25"/>
    <mergeCell ref="B22:D22"/>
    <mergeCell ref="B19:D19"/>
    <mergeCell ref="B16:D16"/>
    <mergeCell ref="B17:D17"/>
    <mergeCell ref="B18:D18"/>
    <mergeCell ref="B23:D23"/>
    <mergeCell ref="B24:D24"/>
    <mergeCell ref="E21:F21"/>
    <mergeCell ref="G21:H21"/>
    <mergeCell ref="B3:H5"/>
    <mergeCell ref="B13:D13"/>
    <mergeCell ref="B10:D10"/>
    <mergeCell ref="B11:D11"/>
    <mergeCell ref="B12:D12"/>
    <mergeCell ref="E9:F9"/>
    <mergeCell ref="G9:H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4"/>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59" t="s">
        <v>244</v>
      </c>
      <c r="C3" s="159"/>
      <c r="D3" s="159"/>
      <c r="E3" s="159"/>
      <c r="F3" s="159"/>
      <c r="G3" s="1"/>
    </row>
    <row r="4" spans="1:7" ht="25.5" customHeight="1" x14ac:dyDescent="0.25">
      <c r="A4" s="1"/>
      <c r="B4" s="159"/>
      <c r="C4" s="159"/>
      <c r="D4" s="159"/>
      <c r="E4" s="159"/>
      <c r="F4" s="15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70" t="s">
        <v>276</v>
      </c>
      <c r="C8" s="171"/>
      <c r="D8" s="171"/>
      <c r="E8" s="171"/>
      <c r="F8" s="172"/>
      <c r="G8" s="1"/>
    </row>
    <row r="9" spans="1:7" ht="15" customHeight="1" x14ac:dyDescent="0.25">
      <c r="A9" s="1"/>
      <c r="B9" s="30" t="s">
        <v>129</v>
      </c>
      <c r="C9" s="30" t="s">
        <v>11</v>
      </c>
      <c r="D9" s="31"/>
      <c r="E9" s="30" t="s">
        <v>31</v>
      </c>
      <c r="F9" s="31"/>
      <c r="G9" s="1"/>
    </row>
    <row r="10" spans="1:7" ht="26.25" x14ac:dyDescent="0.25">
      <c r="A10" s="1"/>
      <c r="B10" s="90" t="s">
        <v>256</v>
      </c>
      <c r="C10" s="9">
        <v>0</v>
      </c>
      <c r="D10" s="14" t="s">
        <v>3</v>
      </c>
      <c r="E10" s="9">
        <v>0</v>
      </c>
      <c r="F10" s="14" t="s">
        <v>3</v>
      </c>
      <c r="G10" s="1"/>
    </row>
    <row r="11" spans="1:7" ht="28.5" customHeight="1" x14ac:dyDescent="0.25">
      <c r="A11" s="1"/>
      <c r="B11" s="20" t="s">
        <v>153</v>
      </c>
      <c r="C11" s="12">
        <f>SUM(C10:C10)</f>
        <v>0</v>
      </c>
      <c r="D11" s="13" t="s">
        <v>3</v>
      </c>
      <c r="E11" s="12">
        <f>SUM(E10:E10)</f>
        <v>0</v>
      </c>
      <c r="F11" s="13" t="s">
        <v>3</v>
      </c>
      <c r="G11" s="1"/>
    </row>
    <row r="12" spans="1:7" ht="27" customHeight="1" x14ac:dyDescent="0.25">
      <c r="A12" s="1"/>
      <c r="B12" s="20" t="s">
        <v>206</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70" t="s">
        <v>277</v>
      </c>
      <c r="C14" s="171"/>
      <c r="D14" s="171"/>
      <c r="E14" s="171"/>
      <c r="F14" s="172"/>
      <c r="G14" s="1"/>
    </row>
    <row r="15" spans="1:7" ht="26.25" x14ac:dyDescent="0.25">
      <c r="A15" s="1"/>
      <c r="B15" s="30" t="s">
        <v>129</v>
      </c>
      <c r="C15" s="30" t="s">
        <v>11</v>
      </c>
      <c r="D15" s="31"/>
      <c r="E15" s="30" t="s">
        <v>31</v>
      </c>
      <c r="F15" s="31"/>
      <c r="G15" s="1"/>
    </row>
    <row r="16" spans="1:7" ht="26.25" x14ac:dyDescent="0.25">
      <c r="A16" s="1"/>
      <c r="B16" s="90" t="s">
        <v>256</v>
      </c>
      <c r="C16" s="9">
        <v>0</v>
      </c>
      <c r="D16" s="14" t="s">
        <v>3</v>
      </c>
      <c r="E16" s="9">
        <v>0</v>
      </c>
      <c r="F16" s="14" t="s">
        <v>3</v>
      </c>
      <c r="G16" s="1"/>
    </row>
    <row r="17" spans="1:7" ht="26.25" x14ac:dyDescent="0.25">
      <c r="A17" s="1"/>
      <c r="B17" s="20" t="s">
        <v>153</v>
      </c>
      <c r="C17" s="12">
        <f>SUM(C16:C16)</f>
        <v>0</v>
      </c>
      <c r="D17" s="13" t="s">
        <v>3</v>
      </c>
      <c r="E17" s="12">
        <f>SUM(E16:E16)</f>
        <v>0</v>
      </c>
      <c r="F17" s="13" t="s">
        <v>3</v>
      </c>
      <c r="G17" s="1"/>
    </row>
    <row r="18" spans="1:7" ht="26.25" x14ac:dyDescent="0.25">
      <c r="A18" s="1"/>
      <c r="B18" s="20" t="s">
        <v>206</v>
      </c>
      <c r="C18" s="12">
        <f>C17*(1+'Fane 15. Nøgletal'!C21)</f>
        <v>0</v>
      </c>
      <c r="D18" s="13" t="s">
        <v>3</v>
      </c>
      <c r="E18" s="12">
        <f>E17*(1+'Fane 15. Nøgletal'!C21)</f>
        <v>0</v>
      </c>
      <c r="F18" s="13"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MZsCKeGEyzbGgBLNYbkJj+YL9U97mIEhsY/4X6m9juucTWZymjoaiH2MFEiGNH+PJXkBOXyBTmxo0UHrnH1Lwg==" saltValue="FmxpnpTAOnjbx7duF2p+FA==" spinCount="100000" sheet="1" objects="1" scenarios="1"/>
  <mergeCells count="3">
    <mergeCell ref="B3:F4"/>
    <mergeCell ref="B8:F8"/>
    <mergeCell ref="B14:F1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8"/>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8" width="5" style="2" customWidth="1"/>
    <col min="9" max="9" width="36.42578125" style="2" customWidth="1"/>
    <col min="10" max="10" width="15.5703125" style="2" customWidth="1"/>
    <col min="11" max="11" width="3.140625" style="2" customWidth="1"/>
    <col min="12" max="12" width="18.42578125" style="2" customWidth="1"/>
    <col min="13" max="13" width="3.140625" style="2" customWidth="1"/>
    <col min="14" max="14" width="5" style="2" customWidth="1"/>
    <col min="15"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59" t="s">
        <v>245</v>
      </c>
      <c r="C3" s="159"/>
      <c r="D3" s="159"/>
      <c r="E3" s="159"/>
      <c r="F3" s="159"/>
      <c r="G3" s="1"/>
    </row>
    <row r="4" spans="1:7" ht="25.5" customHeight="1" x14ac:dyDescent="0.25">
      <c r="A4" s="1"/>
      <c r="B4" s="159"/>
      <c r="C4" s="159"/>
      <c r="D4" s="159"/>
      <c r="E4" s="159"/>
      <c r="F4" s="15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70" t="s">
        <v>274</v>
      </c>
      <c r="C9" s="171"/>
      <c r="D9" s="171"/>
      <c r="E9" s="171"/>
      <c r="F9" s="172"/>
      <c r="G9" s="1"/>
    </row>
    <row r="10" spans="1:7" ht="26.25" x14ac:dyDescent="0.25">
      <c r="A10" s="1"/>
      <c r="B10" s="30" t="s">
        <v>18</v>
      </c>
      <c r="C10" s="30" t="s">
        <v>11</v>
      </c>
      <c r="D10" s="31"/>
      <c r="E10" s="30" t="s">
        <v>31</v>
      </c>
      <c r="F10" s="31"/>
      <c r="G10" s="1"/>
    </row>
    <row r="11" spans="1:7" x14ac:dyDescent="0.25">
      <c r="A11" s="1"/>
      <c r="B11" s="23" t="s">
        <v>171</v>
      </c>
      <c r="C11" s="9">
        <v>0</v>
      </c>
      <c r="D11" s="14" t="s">
        <v>3</v>
      </c>
      <c r="E11" s="9">
        <v>0</v>
      </c>
      <c r="F11" s="14" t="s">
        <v>3</v>
      </c>
      <c r="G11" s="1"/>
    </row>
    <row r="12" spans="1:7" x14ac:dyDescent="0.25">
      <c r="A12" s="1"/>
      <c r="B12" s="32" t="s">
        <v>221</v>
      </c>
      <c r="C12" s="12">
        <f>SUM(C11:C11)</f>
        <v>0</v>
      </c>
      <c r="D12" s="13" t="s">
        <v>3</v>
      </c>
      <c r="E12" s="12">
        <f>SUM(E11:E11)</f>
        <v>0</v>
      </c>
      <c r="F12" s="13" t="s">
        <v>3</v>
      </c>
      <c r="G12" s="1"/>
    </row>
    <row r="13" spans="1:7" x14ac:dyDescent="0.25">
      <c r="A13" s="1"/>
      <c r="B13" s="32" t="s">
        <v>88</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70" t="s">
        <v>275</v>
      </c>
      <c r="C15" s="171"/>
      <c r="D15" s="171"/>
      <c r="E15" s="171"/>
      <c r="F15" s="172"/>
      <c r="G15" s="1"/>
    </row>
    <row r="16" spans="1:7" ht="26.25" x14ac:dyDescent="0.25">
      <c r="A16" s="1"/>
      <c r="B16" s="30" t="s">
        <v>18</v>
      </c>
      <c r="C16" s="30" t="s">
        <v>11</v>
      </c>
      <c r="D16" s="31"/>
      <c r="E16" s="30" t="s">
        <v>31</v>
      </c>
      <c r="F16" s="31"/>
      <c r="G16" s="1"/>
    </row>
    <row r="17" spans="1:7" x14ac:dyDescent="0.25">
      <c r="A17" s="1"/>
      <c r="B17" s="23" t="s">
        <v>171</v>
      </c>
      <c r="C17" s="9">
        <v>0</v>
      </c>
      <c r="D17" s="14" t="s">
        <v>3</v>
      </c>
      <c r="E17" s="9">
        <v>0</v>
      </c>
      <c r="F17" s="14" t="s">
        <v>3</v>
      </c>
      <c r="G17" s="1"/>
    </row>
    <row r="18" spans="1:7" x14ac:dyDescent="0.25">
      <c r="A18" s="1"/>
      <c r="B18" s="32" t="s">
        <v>221</v>
      </c>
      <c r="C18" s="12">
        <f>SUM(C17:C17)</f>
        <v>0</v>
      </c>
      <c r="D18" s="13" t="s">
        <v>3</v>
      </c>
      <c r="E18" s="12">
        <f>SUM(E17:E17)</f>
        <v>0</v>
      </c>
      <c r="F18" s="13" t="s">
        <v>3</v>
      </c>
      <c r="G18" s="1"/>
    </row>
    <row r="19" spans="1:7" x14ac:dyDescent="0.25">
      <c r="A19" s="1"/>
      <c r="B19" s="32" t="s">
        <v>88</v>
      </c>
      <c r="C19" s="12">
        <f>C18*(1+'Fane 15. Nøgletal'!C21)</f>
        <v>0</v>
      </c>
      <c r="D19" s="13" t="s">
        <v>3</v>
      </c>
      <c r="E19" s="12">
        <f>E18*(1+'Fane 15. Nøgletal'!C21)</f>
        <v>0</v>
      </c>
      <c r="F19" s="13" t="s">
        <v>3</v>
      </c>
      <c r="G19" s="1"/>
    </row>
    <row r="20" spans="1:7" x14ac:dyDescent="0.25">
      <c r="A20" s="1"/>
      <c r="B20" s="48"/>
      <c r="C20" s="48"/>
      <c r="D20" s="48"/>
      <c r="E20" s="48"/>
      <c r="F20" s="48"/>
      <c r="G20" s="1"/>
    </row>
    <row r="21" spans="1:7" x14ac:dyDescent="0.25">
      <c r="A21" s="1"/>
      <c r="B21" s="199"/>
      <c r="C21" s="199"/>
      <c r="D21" s="199"/>
      <c r="E21" s="199"/>
      <c r="F21" s="199"/>
      <c r="G21" s="1"/>
    </row>
    <row r="22" spans="1:7" x14ac:dyDescent="0.25">
      <c r="A22" s="1"/>
      <c r="B22" s="50"/>
      <c r="C22" s="50"/>
      <c r="D22" s="50"/>
      <c r="E22" s="50"/>
      <c r="F22" s="50"/>
      <c r="G22" s="1"/>
    </row>
    <row r="23" spans="1:7" x14ac:dyDescent="0.25">
      <c r="A23" s="1"/>
      <c r="B23" s="51"/>
      <c r="C23" s="54"/>
      <c r="D23" s="53"/>
      <c r="E23" s="54"/>
      <c r="F23" s="53"/>
      <c r="G23" s="1"/>
    </row>
    <row r="24" spans="1:7" x14ac:dyDescent="0.25">
      <c r="A24" s="1"/>
      <c r="B24" s="55"/>
      <c r="C24" s="56"/>
      <c r="D24" s="57"/>
      <c r="E24" s="56"/>
      <c r="F24" s="57"/>
      <c r="G24" s="1"/>
    </row>
    <row r="25" spans="1:7" x14ac:dyDescent="0.25">
      <c r="A25" s="1"/>
      <c r="B25" s="55"/>
      <c r="C25" s="56"/>
      <c r="D25" s="57"/>
      <c r="E25" s="56"/>
      <c r="F25" s="57"/>
      <c r="G25" s="1"/>
    </row>
    <row r="26" spans="1:7" x14ac:dyDescent="0.25">
      <c r="A26" s="1"/>
      <c r="B26" s="48"/>
      <c r="C26" s="48"/>
      <c r="D26" s="48"/>
      <c r="E26" s="48"/>
      <c r="F26" s="48"/>
      <c r="G26" s="1"/>
    </row>
    <row r="27" spans="1:7" x14ac:dyDescent="0.25">
      <c r="A27" s="1"/>
      <c r="B27" s="199"/>
      <c r="C27" s="199"/>
      <c r="D27" s="199"/>
      <c r="E27" s="199"/>
      <c r="F27" s="199"/>
      <c r="G27" s="1"/>
    </row>
    <row r="28" spans="1:7" x14ac:dyDescent="0.25">
      <c r="A28" s="1"/>
      <c r="B28" s="50"/>
      <c r="C28" s="50"/>
      <c r="D28" s="50"/>
      <c r="E28" s="50"/>
      <c r="F28" s="50"/>
      <c r="G28" s="1"/>
    </row>
    <row r="29" spans="1:7" x14ac:dyDescent="0.25">
      <c r="A29" s="1"/>
      <c r="B29" s="51"/>
      <c r="C29" s="54"/>
      <c r="D29" s="53"/>
      <c r="E29" s="54"/>
      <c r="F29" s="53"/>
      <c r="G29" s="1"/>
    </row>
    <row r="30" spans="1:7" x14ac:dyDescent="0.25">
      <c r="A30" s="1"/>
      <c r="B30" s="55"/>
      <c r="C30" s="56"/>
      <c r="D30" s="57"/>
      <c r="E30" s="56"/>
      <c r="F30" s="57"/>
      <c r="G30" s="1"/>
    </row>
    <row r="31" spans="1:7" x14ac:dyDescent="0.25">
      <c r="A31" s="1"/>
      <c r="B31" s="55"/>
      <c r="C31" s="56"/>
      <c r="D31" s="57"/>
      <c r="E31" s="56"/>
      <c r="F31" s="5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yqMWqtQnFmXg+y3d0Q32RzvIe5JyphMQ7PCYXLhQeFYgJmH5IPdcdbrIs8UxTNCH/Bdwc63+5d5oQS3INqGi0A==" saltValue="gH3nK62oLRFQv2UB+AaoB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I45"/>
  <sheetViews>
    <sheetView showGridLines="0" view="pageLayout" topLeftCell="A13" zoomScaleNormal="100" workbookViewId="0">
      <selection activeCell="G23" sqref="G23"/>
    </sheetView>
  </sheetViews>
  <sheetFormatPr defaultColWidth="9.140625" defaultRowHeight="15" x14ac:dyDescent="0.25"/>
  <cols>
    <col min="1" max="1" width="1.42578125" style="2" customWidth="1"/>
    <col min="2" max="2" width="38.42578125" style="2" customWidth="1"/>
    <col min="3" max="3" width="12.140625" style="2" customWidth="1"/>
    <col min="4" max="4" width="3.140625" style="2" customWidth="1"/>
    <col min="5" max="5" width="12.140625" style="2" customWidth="1"/>
    <col min="6" max="6" width="3.140625" style="2" customWidth="1"/>
    <col min="7" max="7" width="12.140625" style="2" customWidth="1"/>
    <col min="8" max="8" width="3.140625" style="2" customWidth="1"/>
    <col min="9" max="9" width="1.42578125" style="2" customWidth="1"/>
    <col min="10" max="16384" width="9.140625" style="2"/>
  </cols>
  <sheetData>
    <row r="1" spans="1:9" x14ac:dyDescent="0.25">
      <c r="A1" s="91"/>
      <c r="B1" s="91"/>
      <c r="C1" s="91"/>
      <c r="D1" s="91"/>
      <c r="E1" s="91"/>
      <c r="F1" s="91"/>
      <c r="G1" s="91"/>
      <c r="H1" s="91"/>
      <c r="I1" s="91"/>
    </row>
    <row r="2" spans="1:9" x14ac:dyDescent="0.25">
      <c r="A2" s="1"/>
      <c r="B2" s="1"/>
      <c r="C2" s="1"/>
      <c r="D2" s="1"/>
      <c r="E2" s="1"/>
      <c r="F2" s="1"/>
      <c r="G2" s="1"/>
      <c r="H2" s="1"/>
      <c r="I2" s="1"/>
    </row>
    <row r="3" spans="1:9" ht="15" customHeight="1" x14ac:dyDescent="0.25">
      <c r="A3" s="1"/>
      <c r="B3" s="157" t="s">
        <v>176</v>
      </c>
      <c r="C3" s="157"/>
      <c r="D3" s="157"/>
      <c r="E3" s="157"/>
      <c r="F3" s="157"/>
      <c r="G3" s="157"/>
      <c r="H3" s="157"/>
      <c r="I3" s="1"/>
    </row>
    <row r="4" spans="1:9" ht="15" customHeight="1" x14ac:dyDescent="0.25">
      <c r="A4" s="1"/>
      <c r="B4" s="157"/>
      <c r="C4" s="157"/>
      <c r="D4" s="157"/>
      <c r="E4" s="157"/>
      <c r="F4" s="157"/>
      <c r="G4" s="157"/>
      <c r="H4" s="15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s="119" customFormat="1" ht="26.25" customHeight="1" x14ac:dyDescent="0.25">
      <c r="A8" s="91"/>
      <c r="B8" s="20" t="s">
        <v>13</v>
      </c>
      <c r="C8" s="155" t="s">
        <v>271</v>
      </c>
      <c r="D8" s="155"/>
      <c r="E8" s="155" t="s">
        <v>272</v>
      </c>
      <c r="F8" s="155"/>
      <c r="G8" s="155" t="s">
        <v>298</v>
      </c>
      <c r="H8" s="156"/>
      <c r="I8" s="91"/>
    </row>
    <row r="9" spans="1:9" s="119" customFormat="1" ht="26.25" customHeight="1" x14ac:dyDescent="0.25">
      <c r="A9" s="91"/>
      <c r="B9" s="92" t="s">
        <v>123</v>
      </c>
      <c r="C9" s="93">
        <f>'Fane 3. Omkostninger i ØR2022'!C20</f>
        <v>76671306.82519646</v>
      </c>
      <c r="D9" s="94" t="s">
        <v>3</v>
      </c>
      <c r="E9" s="93">
        <f>'Fane 3. Omkostninger i ØR2022'!E20</f>
        <v>74264116.435423702</v>
      </c>
      <c r="F9" s="94" t="s">
        <v>3</v>
      </c>
      <c r="G9" s="93">
        <f>C9+E9</f>
        <v>150935423.26062018</v>
      </c>
      <c r="H9" s="94" t="s">
        <v>3</v>
      </c>
      <c r="I9" s="91"/>
    </row>
    <row r="10" spans="1:9" ht="17.25" customHeight="1" x14ac:dyDescent="0.25">
      <c r="A10" s="1"/>
      <c r="B10" s="105" t="s">
        <v>39</v>
      </c>
      <c r="C10" s="7">
        <f>'Fane 11.1. Varige tillæg'!C12</f>
        <v>0</v>
      </c>
      <c r="D10" s="8" t="s">
        <v>3</v>
      </c>
      <c r="E10" s="7">
        <f>'Fane 11.1. Varige tillæg'!C20</f>
        <v>2665444.8852000004</v>
      </c>
      <c r="F10" s="8" t="s">
        <v>3</v>
      </c>
      <c r="G10" s="93">
        <f t="shared" ref="G10:G19" si="0">C10+E10</f>
        <v>2665444.8852000004</v>
      </c>
      <c r="H10" s="8" t="s">
        <v>3</v>
      </c>
      <c r="I10" s="1"/>
    </row>
    <row r="11" spans="1:9" ht="17.25" customHeight="1" x14ac:dyDescent="0.25">
      <c r="A11" s="1"/>
      <c r="B11" s="105" t="s">
        <v>40</v>
      </c>
      <c r="C11" s="9">
        <f>'Fane 11.1. Varige tillæg'!E12</f>
        <v>0</v>
      </c>
      <c r="D11" s="8" t="s">
        <v>3</v>
      </c>
      <c r="E11" s="9">
        <f>'Fane 11.1. Varige tillæg'!E20</f>
        <v>1322466.378</v>
      </c>
      <c r="F11" s="8" t="s">
        <v>3</v>
      </c>
      <c r="G11" s="93">
        <f t="shared" si="0"/>
        <v>1322466.378</v>
      </c>
      <c r="H11" s="8" t="s">
        <v>3</v>
      </c>
      <c r="I11" s="1"/>
    </row>
    <row r="12" spans="1:9" ht="17.25" customHeight="1" x14ac:dyDescent="0.25">
      <c r="A12" s="1"/>
      <c r="B12" s="105" t="s">
        <v>27</v>
      </c>
      <c r="C12" s="9">
        <f>-'Fane 14. Bortfald'!C13</f>
        <v>0</v>
      </c>
      <c r="D12" s="8" t="s">
        <v>3</v>
      </c>
      <c r="E12" s="9">
        <f>-'Fane 14. Bortfald'!E13</f>
        <v>0</v>
      </c>
      <c r="F12" s="8" t="s">
        <v>3</v>
      </c>
      <c r="G12" s="93">
        <f t="shared" si="0"/>
        <v>0</v>
      </c>
      <c r="H12" s="8" t="s">
        <v>3</v>
      </c>
      <c r="I12" s="1"/>
    </row>
    <row r="13" spans="1:9" ht="17.25" customHeight="1" x14ac:dyDescent="0.25">
      <c r="A13" s="1"/>
      <c r="B13" s="105" t="s">
        <v>26</v>
      </c>
      <c r="C13" s="9">
        <f>-'Fane 14. Bortfald'!E13</f>
        <v>0</v>
      </c>
      <c r="D13" s="8" t="s">
        <v>3</v>
      </c>
      <c r="E13" s="9">
        <f>-'Fane 14. Bortfald'!G13</f>
        <v>0</v>
      </c>
      <c r="F13" s="8" t="s">
        <v>3</v>
      </c>
      <c r="G13" s="93">
        <f t="shared" si="0"/>
        <v>0</v>
      </c>
      <c r="H13" s="8" t="s">
        <v>3</v>
      </c>
      <c r="I13" s="1"/>
    </row>
    <row r="14" spans="1:9" ht="17.25" customHeight="1" x14ac:dyDescent="0.25">
      <c r="A14" s="1"/>
      <c r="B14" s="105" t="s">
        <v>121</v>
      </c>
      <c r="C14" s="9">
        <f>'Fane 13. Tilknyttet virksomhed'!C12</f>
        <v>0</v>
      </c>
      <c r="D14" s="8" t="s">
        <v>3</v>
      </c>
      <c r="E14" s="9">
        <f>'Fane 13. Tilknyttet virksomhed'!E12</f>
        <v>0</v>
      </c>
      <c r="F14" s="8" t="s">
        <v>3</v>
      </c>
      <c r="G14" s="93">
        <f t="shared" si="0"/>
        <v>0</v>
      </c>
      <c r="H14" s="8" t="s">
        <v>3</v>
      </c>
      <c r="I14" s="1"/>
    </row>
    <row r="15" spans="1:9" ht="17.25" customHeight="1" x14ac:dyDescent="0.25">
      <c r="A15" s="1"/>
      <c r="B15" s="105" t="s">
        <v>122</v>
      </c>
      <c r="C15" s="9">
        <f>'Fane 13. Tilknyttet virksomhed'!E12</f>
        <v>0</v>
      </c>
      <c r="D15" s="8" t="s">
        <v>3</v>
      </c>
      <c r="E15" s="9">
        <f>'Fane 13. Tilknyttet virksomhed'!G12</f>
        <v>0</v>
      </c>
      <c r="F15" s="8" t="s">
        <v>3</v>
      </c>
      <c r="G15" s="93">
        <f t="shared" si="0"/>
        <v>0</v>
      </c>
      <c r="H15" s="8" t="s">
        <v>3</v>
      </c>
      <c r="I15" s="1"/>
    </row>
    <row r="16" spans="1:9" ht="17.25" customHeight="1" x14ac:dyDescent="0.25">
      <c r="A16" s="1"/>
      <c r="B16" s="105" t="s">
        <v>19</v>
      </c>
      <c r="C16" s="43">
        <f>SUM(C9)*'Fane 15. Nøgletal'!$C$14+SUM(C10:C15)*'Fane 15. Nøgletal'!$C$15</f>
        <v>253015.31252314831</v>
      </c>
      <c r="D16" s="8" t="s">
        <v>3</v>
      </c>
      <c r="E16" s="43">
        <f>SUM(E9)*'Fane 15. Nøgletal'!$C$14+SUM(E10:E15)*'Fane 15. Nøgletal'!$C$15</f>
        <v>387041.2252068182</v>
      </c>
      <c r="F16" s="8" t="s">
        <v>3</v>
      </c>
      <c r="G16" s="93">
        <f t="shared" si="0"/>
        <v>640056.53772996645</v>
      </c>
      <c r="H16" s="8" t="s">
        <v>3</v>
      </c>
      <c r="I16" s="1"/>
    </row>
    <row r="17" spans="1:9" ht="17.25" customHeight="1" x14ac:dyDescent="0.25">
      <c r="A17" s="1"/>
      <c r="B17" s="105" t="s">
        <v>10</v>
      </c>
      <c r="C17" s="43">
        <f>-SUM(C9,C10:C16)*'Fane 5. Individuelt eff. krav'!G9</f>
        <v>-760365.11084441934</v>
      </c>
      <c r="D17" s="8" t="s">
        <v>3</v>
      </c>
      <c r="E17" s="43">
        <f>-SUM(E9,E10:E16)*'Fane 5. Individuelt eff. krav'!G14</f>
        <v>-809567.64280907752</v>
      </c>
      <c r="F17" s="8" t="s">
        <v>3</v>
      </c>
      <c r="G17" s="93">
        <f t="shared" si="0"/>
        <v>-1569932.753653497</v>
      </c>
      <c r="H17" s="8" t="s">
        <v>3</v>
      </c>
      <c r="I17" s="1"/>
    </row>
    <row r="18" spans="1:9" ht="17.25" customHeight="1" x14ac:dyDescent="0.25">
      <c r="A18" s="1"/>
      <c r="B18" s="105" t="s">
        <v>24</v>
      </c>
      <c r="C18" s="43">
        <f>-'Fane 4.1. Gen. krav - drift'!C50</f>
        <v>-498376.11059621471</v>
      </c>
      <c r="D18" s="8" t="s">
        <v>3</v>
      </c>
      <c r="E18" s="43">
        <f>-'Fane 4.1. Gen. krav - drift'!E50</f>
        <v>-555476.64919667295</v>
      </c>
      <c r="F18" s="8" t="s">
        <v>3</v>
      </c>
      <c r="G18" s="93">
        <f t="shared" si="0"/>
        <v>-1053852.7597928876</v>
      </c>
      <c r="H18" s="8" t="s">
        <v>3</v>
      </c>
      <c r="I18" s="1"/>
    </row>
    <row r="19" spans="1:9" ht="17.25" customHeight="1" x14ac:dyDescent="0.25">
      <c r="A19" s="1"/>
      <c r="B19" s="105" t="s">
        <v>25</v>
      </c>
      <c r="C19" s="43">
        <f>-'Fane 4.2. Gen. krav - anlæg'!C44</f>
        <v>-800388.70961199026</v>
      </c>
      <c r="D19" s="8" t="s">
        <v>3</v>
      </c>
      <c r="E19" s="43">
        <f>-'Fane 4.2. Gen. krav - anlæg'!E44</f>
        <v>-822968.41297830269</v>
      </c>
      <c r="F19" s="8" t="s">
        <v>3</v>
      </c>
      <c r="G19" s="93">
        <f t="shared" si="0"/>
        <v>-1623357.1225902929</v>
      </c>
      <c r="H19" s="8" t="s">
        <v>3</v>
      </c>
      <c r="I19" s="44"/>
    </row>
    <row r="20" spans="1:9" ht="17.25" customHeight="1" x14ac:dyDescent="0.25">
      <c r="A20" s="1"/>
      <c r="B20" s="121" t="s">
        <v>21</v>
      </c>
      <c r="C20" s="122">
        <f>SUM(C9:C19)</f>
        <v>74865192.206666976</v>
      </c>
      <c r="D20" s="123" t="s">
        <v>3</v>
      </c>
      <c r="E20" s="122">
        <f>SUM(E9:E19)</f>
        <v>76451056.21884647</v>
      </c>
      <c r="F20" s="123" t="s">
        <v>3</v>
      </c>
      <c r="G20" s="122">
        <f t="shared" ref="G20" si="1">SUM(G9:G19)</f>
        <v>151316248.42551345</v>
      </c>
      <c r="H20" s="123" t="s">
        <v>3</v>
      </c>
      <c r="I20" s="1"/>
    </row>
    <row r="21" spans="1:9" ht="15" customHeight="1" x14ac:dyDescent="0.25">
      <c r="A21" s="1"/>
      <c r="B21" s="32" t="s">
        <v>12</v>
      </c>
      <c r="C21" s="27"/>
      <c r="D21" s="27"/>
      <c r="E21" s="27"/>
      <c r="F21" s="27"/>
      <c r="G21" s="27"/>
      <c r="H21" s="19"/>
      <c r="I21" s="1"/>
    </row>
    <row r="22" spans="1:9" ht="15" customHeight="1" x14ac:dyDescent="0.25">
      <c r="A22" s="1"/>
      <c r="B22" s="110" t="s">
        <v>297</v>
      </c>
      <c r="C22" s="7">
        <f>'Fane 6. Ikke-påvirkelige omk.'!C17+'Fane 6. Ikke-påvirkelige omk.'!C21+'Fane 6. Ikke-påvirkelige omk.'!C29</f>
        <v>4535512.0293674162</v>
      </c>
      <c r="D22" s="8" t="s">
        <v>3</v>
      </c>
      <c r="E22" s="7">
        <f>'Fane 6. Ikke-påvirkelige omk.'!E17+'Fane 6. Ikke-påvirkelige omk.'!E21+'Fane 6. Ikke-påvirkelige omk.'!E29</f>
        <v>7408408.6581660444</v>
      </c>
      <c r="F22" s="8" t="s">
        <v>3</v>
      </c>
      <c r="G22" s="93">
        <f>C22+E22</f>
        <v>11943920.687533461</v>
      </c>
      <c r="H22" s="8" t="s">
        <v>3</v>
      </c>
      <c r="I22" s="1"/>
    </row>
    <row r="23" spans="1:9" ht="15" customHeight="1" x14ac:dyDescent="0.25">
      <c r="A23" s="1"/>
      <c r="B23" s="132" t="s">
        <v>299</v>
      </c>
      <c r="C23" s="7">
        <f>'Fane 6. Ikke-påvirkelige omk.'!C15</f>
        <v>0</v>
      </c>
      <c r="D23" s="8" t="s">
        <v>3</v>
      </c>
      <c r="E23" s="7">
        <f>'Fane 6. Ikke-påvirkelige omk.'!E15</f>
        <v>0</v>
      </c>
      <c r="F23" s="8" t="s">
        <v>3</v>
      </c>
      <c r="G23" s="93">
        <f>'Fane 6. Ikke-påvirkelige omk.'!G15*(1+'Fane 15. Nøgletal'!C15)^2</f>
        <v>4818995.8788052807</v>
      </c>
      <c r="H23" s="8" t="s">
        <v>3</v>
      </c>
      <c r="I23" s="1"/>
    </row>
    <row r="24" spans="1:9" ht="15" customHeight="1" x14ac:dyDescent="0.25">
      <c r="A24" s="1"/>
      <c r="B24" s="124" t="s">
        <v>296</v>
      </c>
      <c r="C24" s="125">
        <f>C22</f>
        <v>4535512.0293674162</v>
      </c>
      <c r="D24" s="126" t="s">
        <v>3</v>
      </c>
      <c r="E24" s="125">
        <f>E22+E23</f>
        <v>7408408.6581660444</v>
      </c>
      <c r="F24" s="126" t="s">
        <v>3</v>
      </c>
      <c r="G24" s="125">
        <f>G22-G23</f>
        <v>7124924.8087281799</v>
      </c>
      <c r="H24" s="126" t="s">
        <v>3</v>
      </c>
      <c r="I24" s="1"/>
    </row>
    <row r="25" spans="1:9" ht="15" customHeight="1" x14ac:dyDescent="0.25">
      <c r="A25" s="1"/>
      <c r="B25" s="32" t="s">
        <v>85</v>
      </c>
      <c r="C25" s="27"/>
      <c r="D25" s="27"/>
      <c r="E25" s="27"/>
      <c r="F25" s="27"/>
      <c r="G25" s="27"/>
      <c r="H25" s="19"/>
      <c r="I25" s="1"/>
    </row>
    <row r="26" spans="1:9" ht="15" customHeight="1" x14ac:dyDescent="0.25">
      <c r="A26" s="1"/>
      <c r="B26" s="107" t="s">
        <v>85</v>
      </c>
      <c r="C26" s="10">
        <f>'Fane 12. Periodevise driftsomk.'!G13</f>
        <v>0</v>
      </c>
      <c r="D26" s="11" t="s">
        <v>3</v>
      </c>
      <c r="E26" s="10">
        <f>'Fane 12. Periodevise driftsomk.'!I13</f>
        <v>0</v>
      </c>
      <c r="F26" s="11" t="s">
        <v>3</v>
      </c>
      <c r="G26" s="10">
        <f>C26+E26</f>
        <v>0</v>
      </c>
      <c r="H26" s="11" t="s">
        <v>3</v>
      </c>
      <c r="I26" s="1"/>
    </row>
    <row r="27" spans="1:9" ht="15" customHeight="1" x14ac:dyDescent="0.25">
      <c r="A27" s="1"/>
      <c r="B27" s="32" t="s">
        <v>84</v>
      </c>
      <c r="C27" s="27"/>
      <c r="D27" s="27"/>
      <c r="E27" s="27"/>
      <c r="F27" s="27"/>
      <c r="G27" s="27"/>
      <c r="H27" s="19"/>
      <c r="I27" s="1"/>
    </row>
    <row r="28" spans="1:9" ht="15" customHeight="1" x14ac:dyDescent="0.25">
      <c r="A28" s="1"/>
      <c r="B28" s="105" t="s">
        <v>219</v>
      </c>
      <c r="C28" s="63">
        <f>'Fane 11.2. Engangstillæg'!C12</f>
        <v>0</v>
      </c>
      <c r="D28" s="8" t="s">
        <v>3</v>
      </c>
      <c r="E28" s="63">
        <f>'Fane 11.2. Engangstillæg'!E12</f>
        <v>0</v>
      </c>
      <c r="F28" s="8" t="s">
        <v>3</v>
      </c>
      <c r="G28" s="63">
        <f>C28+E28</f>
        <v>0</v>
      </c>
      <c r="H28" s="8" t="s">
        <v>3</v>
      </c>
      <c r="I28" s="1"/>
    </row>
    <row r="29" spans="1:9" ht="15" customHeight="1" x14ac:dyDescent="0.25">
      <c r="A29" s="1"/>
      <c r="B29" s="105" t="s">
        <v>81</v>
      </c>
      <c r="C29" s="63">
        <f>'Fane 11.2. Engangstillæg'!E12</f>
        <v>0</v>
      </c>
      <c r="D29" s="8" t="s">
        <v>3</v>
      </c>
      <c r="E29" s="63">
        <f>'Fane 11.2. Engangstillæg'!G12</f>
        <v>0</v>
      </c>
      <c r="F29" s="8" t="s">
        <v>3</v>
      </c>
      <c r="G29" s="63">
        <f t="shared" ref="G29:G31" si="2">C29+E29</f>
        <v>0</v>
      </c>
      <c r="H29" s="8" t="s">
        <v>3</v>
      </c>
      <c r="I29" s="1"/>
    </row>
    <row r="30" spans="1:9" ht="15" customHeight="1" x14ac:dyDescent="0.25">
      <c r="A30" s="1"/>
      <c r="B30" s="133" t="s">
        <v>225</v>
      </c>
      <c r="C30" s="63">
        <f>-C28*('Fane 15. Nøgletal'!C31+'Fane 5. Individuelt eff. krav'!G9)</f>
        <v>0</v>
      </c>
      <c r="D30" s="8" t="s">
        <v>3</v>
      </c>
      <c r="E30" s="63">
        <f>-E28*('Fane 15. Nøgletal'!E31+'Fane 5. Individuelt eff. krav'!I9)</f>
        <v>0</v>
      </c>
      <c r="F30" s="8" t="s">
        <v>3</v>
      </c>
      <c r="G30" s="63">
        <f t="shared" si="2"/>
        <v>0</v>
      </c>
      <c r="H30" s="8" t="s">
        <v>3</v>
      </c>
      <c r="I30" s="1"/>
    </row>
    <row r="31" spans="1:9" ht="15" customHeight="1" x14ac:dyDescent="0.25">
      <c r="A31" s="1"/>
      <c r="B31" s="133" t="s">
        <v>226</v>
      </c>
      <c r="C31" s="63">
        <f>-C29*('Fane 15. Nøgletal'!C26+'Fane 5. Individuelt eff. krav'!G9)</f>
        <v>0</v>
      </c>
      <c r="D31" s="8" t="s">
        <v>3</v>
      </c>
      <c r="E31" s="63">
        <f>-E29*('Fane 15. Nøgletal'!E26+'Fane 5. Individuelt eff. krav'!I9)</f>
        <v>0</v>
      </c>
      <c r="F31" s="8" t="s">
        <v>3</v>
      </c>
      <c r="G31" s="63">
        <f t="shared" si="2"/>
        <v>0</v>
      </c>
      <c r="H31" s="8" t="s">
        <v>3</v>
      </c>
      <c r="I31" s="1"/>
    </row>
    <row r="32" spans="1:9" ht="15" customHeight="1" x14ac:dyDescent="0.25">
      <c r="A32" s="1"/>
      <c r="B32" s="79" t="s">
        <v>86</v>
      </c>
      <c r="C32" s="10">
        <f>SUM(C28:C31)</f>
        <v>0</v>
      </c>
      <c r="D32" s="11" t="s">
        <v>3</v>
      </c>
      <c r="E32" s="10">
        <f t="shared" ref="E32" si="3">SUM(E28:E31)</f>
        <v>0</v>
      </c>
      <c r="F32" s="11" t="s">
        <v>3</v>
      </c>
      <c r="G32" s="10">
        <f>SUM(G28:G31)</f>
        <v>0</v>
      </c>
      <c r="H32" s="11" t="s">
        <v>3</v>
      </c>
      <c r="I32" s="1"/>
    </row>
    <row r="33" spans="1:9" x14ac:dyDescent="0.25">
      <c r="A33" s="1"/>
      <c r="B33" s="32" t="s">
        <v>139</v>
      </c>
      <c r="C33" s="27"/>
      <c r="D33" s="27"/>
      <c r="E33" s="27"/>
      <c r="F33" s="27"/>
      <c r="G33" s="27"/>
      <c r="H33" s="19"/>
      <c r="I33" s="1"/>
    </row>
    <row r="34" spans="1:9" ht="26.25" customHeight="1" x14ac:dyDescent="0.25">
      <c r="A34" s="1"/>
      <c r="B34" s="30" t="s">
        <v>175</v>
      </c>
      <c r="C34" s="10">
        <f>'Fane 7. Kontrol af ØR2021'!I28</f>
        <v>0</v>
      </c>
      <c r="D34" s="11" t="s">
        <v>3</v>
      </c>
      <c r="E34" s="10">
        <f>'Fane 7. Kontrol af ØR2021'!K28</f>
        <v>0</v>
      </c>
      <c r="F34" s="11" t="s">
        <v>3</v>
      </c>
      <c r="G34" s="10">
        <f>C34+E34</f>
        <v>0</v>
      </c>
      <c r="H34" s="11" t="s">
        <v>3</v>
      </c>
      <c r="I34" s="1"/>
    </row>
    <row r="35" spans="1:9" ht="15" customHeight="1" x14ac:dyDescent="0.25">
      <c r="A35" s="1"/>
      <c r="B35" s="32" t="s">
        <v>180</v>
      </c>
      <c r="C35" s="27"/>
      <c r="D35" s="27"/>
      <c r="E35" s="27"/>
      <c r="F35" s="27"/>
      <c r="G35" s="27"/>
      <c r="H35" s="19"/>
      <c r="I35" s="1"/>
    </row>
    <row r="36" spans="1:9" ht="15" customHeight="1" x14ac:dyDescent="0.25">
      <c r="A36" s="1"/>
      <c r="B36" s="30" t="s">
        <v>180</v>
      </c>
      <c r="C36" s="10">
        <f>'Fane 9. Korrektion af ØR2021'!E17</f>
        <v>0</v>
      </c>
      <c r="D36" s="11" t="s">
        <v>3</v>
      </c>
      <c r="E36" s="10">
        <f>'Fane 9. Korrektion af ØR2021'!G17</f>
        <v>0</v>
      </c>
      <c r="F36" s="11" t="s">
        <v>3</v>
      </c>
      <c r="G36" s="10">
        <f>C36+E36</f>
        <v>0</v>
      </c>
      <c r="H36" s="11" t="s">
        <v>3</v>
      </c>
      <c r="I36" s="1"/>
    </row>
    <row r="37" spans="1:9" s="119" customFormat="1" ht="26.25" customHeight="1" x14ac:dyDescent="0.25">
      <c r="A37" s="91"/>
      <c r="B37" s="20" t="s">
        <v>169</v>
      </c>
      <c r="C37" s="27"/>
      <c r="D37" s="27"/>
      <c r="E37" s="27"/>
      <c r="F37" s="27"/>
      <c r="G37" s="27"/>
      <c r="H37" s="19"/>
      <c r="I37" s="91"/>
    </row>
    <row r="38" spans="1:9" s="119" customFormat="1" ht="26.25" customHeight="1" x14ac:dyDescent="0.25">
      <c r="A38" s="91"/>
      <c r="B38" s="117" t="s">
        <v>170</v>
      </c>
      <c r="C38" s="120">
        <f>'Fane 8. Skattesagen'!G12</f>
        <v>0</v>
      </c>
      <c r="D38" s="11" t="s">
        <v>3</v>
      </c>
      <c r="E38" s="120">
        <f>'Fane 8. Skattesagen'!I12</f>
        <v>0</v>
      </c>
      <c r="F38" s="11" t="s">
        <v>3</v>
      </c>
      <c r="G38" s="120">
        <f>C38+E38</f>
        <v>0</v>
      </c>
      <c r="H38" s="11" t="s">
        <v>3</v>
      </c>
      <c r="I38" s="91"/>
    </row>
    <row r="39" spans="1:9" x14ac:dyDescent="0.25">
      <c r="A39" s="1"/>
      <c r="B39" s="32" t="s">
        <v>89</v>
      </c>
      <c r="C39" s="47">
        <f>SUM(C36,C34,C26,C32,C24,C20,C38)</f>
        <v>79400704.236034393</v>
      </c>
      <c r="D39" s="29" t="s">
        <v>3</v>
      </c>
      <c r="E39" s="47">
        <f>SUM(E36,E34,E26,E32,E24,E20,E38)</f>
        <v>83859464.877012521</v>
      </c>
      <c r="F39" s="29" t="s">
        <v>3</v>
      </c>
      <c r="G39" s="47">
        <f>SUM(G36,G34,G26,G32,G24,G20,G38)</f>
        <v>158441173.23424163</v>
      </c>
      <c r="H39" s="29" t="s">
        <v>3</v>
      </c>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tHLYckbsCQhjQJwSrI9fhG3F/294PxkFmcV6PrGWTYpIhT4S47aWITmNholww8uKbold+0+rWH5RE7wMrCspEQ==" saltValue="FKLDjhpnCVwGjt3Hw6aPcw==" spinCount="100000" sheet="1" objects="1" scenarios="1"/>
  <mergeCells count="4">
    <mergeCell ref="C8:D8"/>
    <mergeCell ref="E8:F8"/>
    <mergeCell ref="G8:H8"/>
    <mergeCell ref="B3:H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election activeCell="C15" sqref="C15"/>
    </sheetView>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59" t="s">
        <v>246</v>
      </c>
      <c r="C3" s="159"/>
      <c r="D3" s="1"/>
    </row>
    <row r="4" spans="1:4" ht="25.5" customHeight="1" x14ac:dyDescent="0.25">
      <c r="A4" s="1"/>
      <c r="B4" s="159"/>
      <c r="C4" s="159"/>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78" t="s">
        <v>109</v>
      </c>
      <c r="C9" s="24">
        <v>1.2699999999999999E-2</v>
      </c>
      <c r="D9" s="1"/>
    </row>
    <row r="10" spans="1:4" x14ac:dyDescent="0.25">
      <c r="A10" s="1"/>
      <c r="B10" s="78" t="s">
        <v>110</v>
      </c>
      <c r="C10" s="24">
        <v>1.7500000000000002E-2</v>
      </c>
      <c r="D10" s="1"/>
    </row>
    <row r="11" spans="1:4" x14ac:dyDescent="0.25">
      <c r="A11" s="1"/>
      <c r="B11" s="78" t="s">
        <v>23</v>
      </c>
      <c r="C11" s="24">
        <v>1.6899999999999998E-2</v>
      </c>
      <c r="D11" s="1"/>
    </row>
    <row r="12" spans="1:4" x14ac:dyDescent="0.25">
      <c r="A12" s="1"/>
      <c r="B12" s="33" t="s">
        <v>166</v>
      </c>
      <c r="C12" s="34">
        <v>1.9699999999999999E-2</v>
      </c>
      <c r="D12" s="1"/>
    </row>
    <row r="13" spans="1:4" x14ac:dyDescent="0.25">
      <c r="A13" s="1"/>
      <c r="B13" s="33" t="s">
        <v>131</v>
      </c>
      <c r="C13" s="34">
        <v>1.2200000000000001E-2</v>
      </c>
      <c r="D13" s="1"/>
    </row>
    <row r="14" spans="1:4" x14ac:dyDescent="0.25">
      <c r="A14" s="1"/>
      <c r="B14" s="78" t="s">
        <v>165</v>
      </c>
      <c r="C14" s="42">
        <v>3.3E-3</v>
      </c>
      <c r="D14" s="1"/>
    </row>
    <row r="15" spans="1:4" x14ac:dyDescent="0.25">
      <c r="A15" s="1"/>
      <c r="B15" s="33" t="s">
        <v>211</v>
      </c>
      <c r="C15" s="59">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100</v>
      </c>
      <c r="C19" s="19"/>
      <c r="D19" s="1"/>
    </row>
    <row r="20" spans="1:4" x14ac:dyDescent="0.25">
      <c r="A20" s="1"/>
      <c r="B20" s="78" t="s">
        <v>111</v>
      </c>
      <c r="C20" s="22">
        <v>9.1000000000000004E-3</v>
      </c>
      <c r="D20" s="1"/>
    </row>
    <row r="21" spans="1:4" x14ac:dyDescent="0.25">
      <c r="A21" s="1"/>
      <c r="B21" s="78" t="s">
        <v>141</v>
      </c>
      <c r="C21" s="22">
        <v>1.77E-2</v>
      </c>
      <c r="D21" s="1"/>
    </row>
    <row r="22" spans="1:4" x14ac:dyDescent="0.25">
      <c r="A22" s="1"/>
      <c r="B22" s="78" t="s">
        <v>142</v>
      </c>
      <c r="C22" s="22">
        <v>8.6999999999999994E-3</v>
      </c>
      <c r="D22" s="1"/>
    </row>
    <row r="23" spans="1:4" x14ac:dyDescent="0.25">
      <c r="A23" s="1"/>
      <c r="B23" s="78" t="s">
        <v>112</v>
      </c>
      <c r="C23" s="35">
        <v>2.8400000000000002E-2</v>
      </c>
      <c r="D23" s="1"/>
    </row>
    <row r="24" spans="1:4" x14ac:dyDescent="0.25">
      <c r="A24" s="1"/>
      <c r="B24" s="78" t="s">
        <v>143</v>
      </c>
      <c r="C24" s="35">
        <v>2.75E-2</v>
      </c>
      <c r="D24" s="1"/>
    </row>
    <row r="25" spans="1:4" x14ac:dyDescent="0.25">
      <c r="A25" s="1"/>
      <c r="B25" s="78" t="s">
        <v>144</v>
      </c>
      <c r="C25" s="35">
        <v>1.4800000000000001E-2</v>
      </c>
      <c r="D25" s="1"/>
    </row>
    <row r="26" spans="1:4" x14ac:dyDescent="0.25">
      <c r="A26" s="1"/>
      <c r="B26" s="33" t="s">
        <v>205</v>
      </c>
      <c r="C26" s="60">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101</v>
      </c>
      <c r="C30" s="19"/>
      <c r="D30" s="1"/>
    </row>
    <row r="31" spans="1:4" x14ac:dyDescent="0.25">
      <c r="A31" s="1"/>
      <c r="B31" s="78" t="s">
        <v>113</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5"/>
      <c r="B50" s="45"/>
      <c r="C50" s="45"/>
      <c r="D50" s="45"/>
    </row>
    <row r="51" spans="1:4" x14ac:dyDescent="0.25">
      <c r="A51" s="45"/>
      <c r="B51" s="45"/>
      <c r="C51" s="45"/>
      <c r="D51" s="45"/>
    </row>
    <row r="52" spans="1:4" x14ac:dyDescent="0.25">
      <c r="A52" s="45"/>
      <c r="B52" s="45"/>
      <c r="C52" s="45"/>
      <c r="D52" s="45"/>
    </row>
    <row r="53" spans="1:4" x14ac:dyDescent="0.25">
      <c r="A53" s="45"/>
      <c r="B53" s="45"/>
      <c r="C53" s="45"/>
      <c r="D53" s="45"/>
    </row>
  </sheetData>
  <sheetProtection algorithmName="SHA-512" hashValue="IQe+ciBd8vy7Jf/VY6OTsLcS97sq4rgCYIyVPu1Ak+yHGLDSRxHkpwky0pEJNxFzTlSMCqxRnLXe09GkiqsVlw==" saltValue="zRtGvgSZcPAHBy+8t8o3H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I45"/>
  <sheetViews>
    <sheetView showGridLines="0" view="pageLayout" zoomScaleNormal="100" workbookViewId="0">
      <selection activeCell="B8" sqref="B8:H23"/>
    </sheetView>
  </sheetViews>
  <sheetFormatPr defaultColWidth="9.140625" defaultRowHeight="15" x14ac:dyDescent="0.25"/>
  <cols>
    <col min="1" max="1" width="1.42578125" style="2" customWidth="1"/>
    <col min="2" max="2" width="38.42578125" style="2" customWidth="1"/>
    <col min="3" max="3" width="12.140625" style="2" customWidth="1"/>
    <col min="4" max="4" width="3.140625" style="2" customWidth="1"/>
    <col min="5" max="5" width="12.140625" style="2" customWidth="1"/>
    <col min="6" max="6" width="3.140625" style="2" customWidth="1"/>
    <col min="7" max="7" width="12.140625" style="2" customWidth="1"/>
    <col min="8" max="8" width="3.140625" style="2" customWidth="1"/>
    <col min="9" max="9" width="1.425781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57" t="s">
        <v>181</v>
      </c>
      <c r="C3" s="157"/>
      <c r="D3" s="157"/>
      <c r="E3" s="157"/>
      <c r="F3" s="157"/>
      <c r="G3" s="157"/>
      <c r="H3" s="157"/>
      <c r="I3" s="1"/>
    </row>
    <row r="4" spans="1:9" ht="15" customHeight="1" x14ac:dyDescent="0.25">
      <c r="A4" s="1"/>
      <c r="B4" s="157"/>
      <c r="C4" s="157"/>
      <c r="D4" s="157"/>
      <c r="E4" s="157"/>
      <c r="F4" s="157"/>
      <c r="G4" s="157"/>
      <c r="H4" s="157"/>
      <c r="I4" s="1"/>
    </row>
    <row r="5" spans="1:9" x14ac:dyDescent="0.25">
      <c r="A5" s="1"/>
      <c r="B5" s="158" t="s">
        <v>22</v>
      </c>
      <c r="C5" s="158"/>
      <c r="D5" s="158"/>
      <c r="E5" s="158"/>
      <c r="F5" s="158"/>
      <c r="G5" s="158"/>
      <c r="H5" s="158"/>
      <c r="I5" s="1"/>
    </row>
    <row r="6" spans="1:9" x14ac:dyDescent="0.25">
      <c r="A6" s="1"/>
      <c r="B6" s="1"/>
      <c r="C6" s="1"/>
      <c r="D6" s="1"/>
      <c r="E6" s="1"/>
      <c r="F6" s="1"/>
      <c r="G6" s="1"/>
      <c r="H6" s="1"/>
      <c r="I6" s="1"/>
    </row>
    <row r="7" spans="1:9" x14ac:dyDescent="0.25">
      <c r="A7" s="1"/>
      <c r="B7" s="1"/>
      <c r="C7" s="1"/>
      <c r="D7" s="1"/>
      <c r="E7" s="1"/>
      <c r="F7" s="1"/>
      <c r="G7" s="1"/>
      <c r="H7" s="1"/>
      <c r="I7" s="1"/>
    </row>
    <row r="8" spans="1:9" ht="26.25" customHeight="1" x14ac:dyDescent="0.25">
      <c r="A8" s="1"/>
      <c r="B8" s="20" t="s">
        <v>13</v>
      </c>
      <c r="C8" s="155" t="s">
        <v>271</v>
      </c>
      <c r="D8" s="155"/>
      <c r="E8" s="155" t="s">
        <v>272</v>
      </c>
      <c r="F8" s="155"/>
      <c r="G8" s="155" t="s">
        <v>298</v>
      </c>
      <c r="H8" s="156"/>
      <c r="I8" s="1"/>
    </row>
    <row r="9" spans="1:9" ht="26.25" customHeight="1" x14ac:dyDescent="0.25">
      <c r="A9" s="1"/>
      <c r="B9" s="28" t="s">
        <v>124</v>
      </c>
      <c r="C9" s="7">
        <f>'Fane 2.1. Økonomisk ramme 2023'!C20</f>
        <v>74865192.206666976</v>
      </c>
      <c r="D9" s="8" t="s">
        <v>3</v>
      </c>
      <c r="E9" s="7">
        <f>'Fane 2.1. Økonomisk ramme 2023'!E20</f>
        <v>76451056.21884647</v>
      </c>
      <c r="F9" s="8" t="s">
        <v>3</v>
      </c>
      <c r="G9" s="7">
        <f>'Fane 2.1. Økonomisk ramme 2023'!G20</f>
        <v>151316248.42551345</v>
      </c>
      <c r="H9" s="8" t="s">
        <v>3</v>
      </c>
      <c r="I9" s="1"/>
    </row>
    <row r="10" spans="1:9" ht="15" customHeight="1" x14ac:dyDescent="0.25">
      <c r="A10" s="1"/>
      <c r="B10" s="25" t="s">
        <v>19</v>
      </c>
      <c r="C10" s="7">
        <f>SUM(C9:C9)*'Fane 15. Nøgletal'!C15</f>
        <v>2665200.8425573441</v>
      </c>
      <c r="D10" s="8" t="s">
        <v>3</v>
      </c>
      <c r="E10" s="7">
        <f>SUM(E9:E9)*'Fane 15. Nøgletal'!C15</f>
        <v>2721657.6013909341</v>
      </c>
      <c r="F10" s="8" t="s">
        <v>3</v>
      </c>
      <c r="G10" s="7">
        <f>SUM(G9:G9)*'Fane 15. Nøgletal'!C15</f>
        <v>5386858.4439482782</v>
      </c>
      <c r="H10" s="8" t="s">
        <v>3</v>
      </c>
      <c r="I10" s="1"/>
    </row>
    <row r="11" spans="1:9" ht="15" customHeight="1" x14ac:dyDescent="0.25">
      <c r="A11" s="1"/>
      <c r="B11" s="25" t="s">
        <v>10</v>
      </c>
      <c r="C11" s="9">
        <f>-SUM(C9:C10)*'Fane 5. Individuelt eff. krav'!G9</f>
        <v>-766355.87115272356</v>
      </c>
      <c r="D11" s="8" t="s">
        <v>3</v>
      </c>
      <c r="E11" s="9">
        <f>-SUM(E9:E10)*'Fane 5. Individuelt eff. krav'!G14</f>
        <v>-815061.37063156313</v>
      </c>
      <c r="F11" s="8" t="s">
        <v>3</v>
      </c>
      <c r="G11" s="9">
        <f>C11+E11</f>
        <v>-1581417.2417842867</v>
      </c>
      <c r="H11" s="8" t="s">
        <v>3</v>
      </c>
      <c r="I11" s="1"/>
    </row>
    <row r="12" spans="1:9" ht="15" customHeight="1" x14ac:dyDescent="0.25">
      <c r="A12" s="1"/>
      <c r="B12" s="25" t="s">
        <v>24</v>
      </c>
      <c r="C12" s="9">
        <f>-'Fane 4.1. Gen. krav - drift'!C55</f>
        <v>-505795.93413077114</v>
      </c>
      <c r="D12" s="8" t="s">
        <v>3</v>
      </c>
      <c r="E12" s="9">
        <f>-'Fane 4.1. Gen. krav - drift'!E55</f>
        <v>-563746.58554991311</v>
      </c>
      <c r="F12" s="8" t="s">
        <v>3</v>
      </c>
      <c r="G12" s="9">
        <f>-'Fane 4.1. Gen. krav - drift'!G55</f>
        <v>-1069542.5196806842</v>
      </c>
      <c r="H12" s="8" t="s">
        <v>3</v>
      </c>
      <c r="I12" s="1"/>
    </row>
    <row r="13" spans="1:9" ht="15" customHeight="1" x14ac:dyDescent="0.25">
      <c r="A13" s="1"/>
      <c r="B13" s="25" t="s">
        <v>25</v>
      </c>
      <c r="C13" s="9">
        <f>-'Fane 4.2. Gen. krav - anlæg'!G49</f>
        <v>0</v>
      </c>
      <c r="D13" s="8" t="s">
        <v>3</v>
      </c>
      <c r="E13" s="9">
        <f>-'Fane 4.2. Gen. krav - anlæg'!I49</f>
        <v>0</v>
      </c>
      <c r="F13" s="8" t="s">
        <v>3</v>
      </c>
      <c r="G13" s="9">
        <f>-'Fane 4.2. Gen. krav - anlæg'!K49</f>
        <v>0</v>
      </c>
      <c r="H13" s="8" t="s">
        <v>3</v>
      </c>
      <c r="I13" s="1"/>
    </row>
    <row r="14" spans="1:9" ht="15" customHeight="1" x14ac:dyDescent="0.25">
      <c r="A14" s="1"/>
      <c r="B14" s="30" t="s">
        <v>21</v>
      </c>
      <c r="C14" s="10">
        <f>SUM(C9:C13)</f>
        <v>76258241.243940815</v>
      </c>
      <c r="D14" s="11" t="s">
        <v>3</v>
      </c>
      <c r="E14" s="10">
        <f t="shared" ref="E14" si="0">SUM(E9:E13)</f>
        <v>77793905.864055932</v>
      </c>
      <c r="F14" s="11" t="s">
        <v>3</v>
      </c>
      <c r="G14" s="10">
        <f>SUM(G9:G13)</f>
        <v>154052147.10799676</v>
      </c>
      <c r="H14" s="11" t="s">
        <v>3</v>
      </c>
      <c r="I14" s="1"/>
    </row>
    <row r="15" spans="1:9" x14ac:dyDescent="0.25">
      <c r="A15" s="1"/>
      <c r="B15" s="32" t="s">
        <v>12</v>
      </c>
      <c r="C15" s="27"/>
      <c r="D15" s="27"/>
      <c r="E15" s="27"/>
      <c r="F15" s="27"/>
      <c r="G15" s="27"/>
      <c r="H15" s="19"/>
      <c r="I15" s="1"/>
    </row>
    <row r="16" spans="1:9" ht="15" customHeight="1" x14ac:dyDescent="0.25">
      <c r="A16" s="1"/>
      <c r="B16" s="30" t="s">
        <v>12</v>
      </c>
      <c r="C16" s="10">
        <f>'Fane 6. Ikke-påvirkelige omk.'!C17*(1+'Fane 15. Nøgletal'!$C$15)+'Fane 6. Ikke-påvirkelige omk.'!C27+'Fane 6. Ikke-påvirkelige omk.'!C35</f>
        <v>4696976.2576128962</v>
      </c>
      <c r="D16" s="11" t="s">
        <v>3</v>
      </c>
      <c r="E16" s="10">
        <f>'Fane 6. Ikke-påvirkelige omk.'!E17*(1+'Fane 15. Nøgletal'!$C$15)+'Fane 6. Ikke-påvirkelige omk.'!E27+'Fane 6. Ikke-påvirkelige omk.'!E35</f>
        <v>7672148.0063967565</v>
      </c>
      <c r="F16" s="11" t="s">
        <v>3</v>
      </c>
      <c r="G16" s="10">
        <f>'Fane 6. Ikke-påvirkelige omk.'!G17*(1+'Fane 15. Nøgletal'!$C$15)+'Fane 6. Ikke-påvirkelige omk.'!G27+'Fane 6. Ikke-påvirkelige omk.'!G35</f>
        <v>7378572.1319189044</v>
      </c>
      <c r="H16" s="11" t="s">
        <v>3</v>
      </c>
      <c r="I16" s="1"/>
    </row>
    <row r="17" spans="1:9" ht="15" customHeight="1" x14ac:dyDescent="0.25">
      <c r="A17" s="1"/>
      <c r="B17" s="32" t="s">
        <v>85</v>
      </c>
      <c r="C17" s="27"/>
      <c r="D17" s="27"/>
      <c r="E17" s="27"/>
      <c r="F17" s="27"/>
      <c r="G17" s="27"/>
      <c r="H17" s="19"/>
      <c r="I17" s="1"/>
    </row>
    <row r="18" spans="1:9" ht="15" customHeight="1" x14ac:dyDescent="0.25">
      <c r="A18" s="1"/>
      <c r="B18" s="106" t="s">
        <v>85</v>
      </c>
      <c r="C18" s="10">
        <v>0</v>
      </c>
      <c r="D18" s="11" t="s">
        <v>3</v>
      </c>
      <c r="E18" s="10">
        <v>0</v>
      </c>
      <c r="F18" s="11" t="s">
        <v>3</v>
      </c>
      <c r="G18" s="10">
        <v>0</v>
      </c>
      <c r="H18" s="11" t="s">
        <v>3</v>
      </c>
      <c r="I18" s="1"/>
    </row>
    <row r="19" spans="1:9" x14ac:dyDescent="0.25">
      <c r="A19" s="1"/>
      <c r="B19" s="32" t="s">
        <v>139</v>
      </c>
      <c r="C19" s="27"/>
      <c r="D19" s="27"/>
      <c r="E19" s="27"/>
      <c r="F19" s="27"/>
      <c r="G19" s="27"/>
      <c r="H19" s="19"/>
      <c r="I19" s="1"/>
    </row>
    <row r="20" spans="1:9" ht="26.25" customHeight="1" x14ac:dyDescent="0.25">
      <c r="A20" s="1"/>
      <c r="B20" s="30" t="s">
        <v>175</v>
      </c>
      <c r="C20" s="10">
        <v>0</v>
      </c>
      <c r="D20" s="11" t="s">
        <v>3</v>
      </c>
      <c r="E20" s="10">
        <v>0</v>
      </c>
      <c r="F20" s="11" t="s">
        <v>3</v>
      </c>
      <c r="G20" s="10">
        <v>0</v>
      </c>
      <c r="H20" s="11" t="s">
        <v>3</v>
      </c>
      <c r="I20" s="1"/>
    </row>
    <row r="21" spans="1:9" ht="26.25" customHeight="1" x14ac:dyDescent="0.25">
      <c r="A21" s="1"/>
      <c r="B21" s="20" t="s">
        <v>169</v>
      </c>
      <c r="C21" s="27"/>
      <c r="D21" s="27"/>
      <c r="E21" s="27"/>
      <c r="F21" s="27"/>
      <c r="G21" s="27"/>
      <c r="H21" s="19"/>
      <c r="I21" s="1"/>
    </row>
    <row r="22" spans="1:9" ht="26.25" customHeight="1" x14ac:dyDescent="0.25">
      <c r="A22" s="1"/>
      <c r="B22" s="117" t="s">
        <v>170</v>
      </c>
      <c r="C22" s="120">
        <v>0</v>
      </c>
      <c r="D22" s="11" t="s">
        <v>3</v>
      </c>
      <c r="E22" s="120">
        <v>0</v>
      </c>
      <c r="F22" s="11" t="s">
        <v>3</v>
      </c>
      <c r="G22" s="120">
        <v>0</v>
      </c>
      <c r="H22" s="11" t="s">
        <v>3</v>
      </c>
      <c r="I22" s="1"/>
    </row>
    <row r="23" spans="1:9" x14ac:dyDescent="0.25">
      <c r="A23" s="1"/>
      <c r="B23" s="32" t="s">
        <v>125</v>
      </c>
      <c r="C23" s="47">
        <f>SUM(C14,C16,G18,G20,G22)</f>
        <v>80955217.501553714</v>
      </c>
      <c r="D23" s="29" t="s">
        <v>3</v>
      </c>
      <c r="E23" s="47">
        <f t="shared" ref="E23" si="1">SUM(E14,E16,I18,I20,I22)</f>
        <v>85466053.870452687</v>
      </c>
      <c r="F23" s="29" t="s">
        <v>3</v>
      </c>
      <c r="G23" s="47">
        <f t="shared" ref="G23" si="2">SUM(G14,G16,K18,K20,K22)</f>
        <v>161430719.23991567</v>
      </c>
      <c r="H23" s="29" t="s">
        <v>3</v>
      </c>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y9v8w5U99id7ipddCs05GCBxkPPhGWg9KqbwNWHVB4hvjZJR+7CEtBwczMOkrMbG3CltwrbfiBfaqoKpg8JgMg==" saltValue="hADiuAUKy8XqDPo8DHVdXA==" spinCount="100000" sheet="1" objects="1" scenarios="1"/>
  <mergeCells count="5">
    <mergeCell ref="B3:H4"/>
    <mergeCell ref="B5:H5"/>
    <mergeCell ref="C8:D8"/>
    <mergeCell ref="E8:F8"/>
    <mergeCell ref="G8:H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18CE9-36C5-405E-864A-0F78841B6C2C}">
  <dimension ref="A1:I45"/>
  <sheetViews>
    <sheetView showGridLines="0" view="pageLayout" zoomScaleNormal="100" workbookViewId="0">
      <selection activeCell="B5" sqref="B5:H5"/>
    </sheetView>
  </sheetViews>
  <sheetFormatPr defaultColWidth="9.140625" defaultRowHeight="15" x14ac:dyDescent="0.25"/>
  <cols>
    <col min="1" max="1" width="1.42578125" style="2" customWidth="1"/>
    <col min="2" max="2" width="38.42578125" style="2" customWidth="1"/>
    <col min="3" max="3" width="12.140625" style="2" customWidth="1"/>
    <col min="4" max="4" width="3.140625" style="2" customWidth="1"/>
    <col min="5" max="5" width="12.140625" style="2" customWidth="1"/>
    <col min="6" max="6" width="3.140625" style="2" customWidth="1"/>
    <col min="7" max="7" width="12.140625" style="2" customWidth="1"/>
    <col min="8" max="8" width="3.140625" style="2" customWidth="1"/>
    <col min="9" max="9" width="1.425781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57" t="s">
        <v>300</v>
      </c>
      <c r="C3" s="157"/>
      <c r="D3" s="157"/>
      <c r="E3" s="157"/>
      <c r="F3" s="157"/>
      <c r="G3" s="157"/>
      <c r="H3" s="157"/>
      <c r="I3" s="1"/>
    </row>
    <row r="4" spans="1:9" ht="15" customHeight="1" x14ac:dyDescent="0.25">
      <c r="A4" s="1"/>
      <c r="B4" s="157"/>
      <c r="C4" s="157"/>
      <c r="D4" s="157"/>
      <c r="E4" s="157"/>
      <c r="F4" s="157"/>
      <c r="G4" s="157"/>
      <c r="H4" s="157"/>
      <c r="I4" s="1"/>
    </row>
    <row r="5" spans="1:9" x14ac:dyDescent="0.25">
      <c r="A5" s="1"/>
      <c r="B5" s="158" t="s">
        <v>22</v>
      </c>
      <c r="C5" s="158"/>
      <c r="D5" s="158"/>
      <c r="E5" s="158"/>
      <c r="F5" s="158"/>
      <c r="G5" s="158"/>
      <c r="H5" s="158"/>
      <c r="I5" s="1"/>
    </row>
    <row r="6" spans="1:9" x14ac:dyDescent="0.25">
      <c r="A6" s="1"/>
      <c r="B6" s="1"/>
      <c r="C6" s="1"/>
      <c r="D6" s="1"/>
      <c r="E6" s="1"/>
      <c r="F6" s="1"/>
      <c r="G6" s="1"/>
      <c r="H6" s="1"/>
      <c r="I6" s="1"/>
    </row>
    <row r="7" spans="1:9" x14ac:dyDescent="0.25">
      <c r="A7" s="1"/>
      <c r="B7" s="1"/>
      <c r="C7" s="1"/>
      <c r="D7" s="1"/>
      <c r="E7" s="1"/>
      <c r="F7" s="1"/>
      <c r="G7" s="1"/>
      <c r="H7" s="1"/>
      <c r="I7" s="1"/>
    </row>
    <row r="8" spans="1:9" ht="26.25" customHeight="1" x14ac:dyDescent="0.25">
      <c r="A8" s="1"/>
      <c r="B8" s="20" t="s">
        <v>13</v>
      </c>
      <c r="C8" s="155" t="s">
        <v>271</v>
      </c>
      <c r="D8" s="155"/>
      <c r="E8" s="155" t="s">
        <v>272</v>
      </c>
      <c r="F8" s="155"/>
      <c r="G8" s="155" t="s">
        <v>298</v>
      </c>
      <c r="H8" s="156"/>
      <c r="I8" s="1"/>
    </row>
    <row r="9" spans="1:9" ht="26.25" customHeight="1" x14ac:dyDescent="0.25">
      <c r="A9" s="1"/>
      <c r="B9" s="28" t="s">
        <v>124</v>
      </c>
      <c r="C9" s="7">
        <f>'Fane 2.2. Økonomisk ramme 2024'!C14</f>
        <v>76258241.243940815</v>
      </c>
      <c r="D9" s="8" t="s">
        <v>3</v>
      </c>
      <c r="E9" s="7">
        <f>'Fane 2.2. Økonomisk ramme 2024'!E14</f>
        <v>77793905.864055932</v>
      </c>
      <c r="F9" s="8" t="s">
        <v>3</v>
      </c>
      <c r="G9" s="7">
        <f>'Fane 2.2. Økonomisk ramme 2024'!G14</f>
        <v>154052147.10799676</v>
      </c>
      <c r="H9" s="8" t="s">
        <v>3</v>
      </c>
      <c r="I9" s="1"/>
    </row>
    <row r="10" spans="1:9" ht="15" customHeight="1" x14ac:dyDescent="0.25">
      <c r="A10" s="1"/>
      <c r="B10" s="25" t="s">
        <v>19</v>
      </c>
      <c r="C10" s="7">
        <f>SUM(C9:C9)*'Fane 15. Nøgletal'!C15</f>
        <v>2714793.388284293</v>
      </c>
      <c r="D10" s="8" t="s">
        <v>3</v>
      </c>
      <c r="E10" s="7">
        <f>SUM(E9:E9)*'Fane 15. Nøgletal'!C15</f>
        <v>2769463.0487603913</v>
      </c>
      <c r="F10" s="8" t="s">
        <v>3</v>
      </c>
      <c r="G10" s="7">
        <f>SUM(G9:G9)*'Fane 15. Nøgletal'!C15</f>
        <v>5484256.4370446848</v>
      </c>
      <c r="H10" s="8" t="s">
        <v>3</v>
      </c>
      <c r="I10" s="1"/>
    </row>
    <row r="11" spans="1:9" ht="15" customHeight="1" x14ac:dyDescent="0.25">
      <c r="A11" s="1"/>
      <c r="B11" s="25" t="s">
        <v>10</v>
      </c>
      <c r="C11" s="9">
        <f>-SUM(C9:C10)*'Fane 5. Individuelt eff. krav'!G9</f>
        <v>-780615.78656937554</v>
      </c>
      <c r="D11" s="8" t="s">
        <v>3</v>
      </c>
      <c r="E11" s="9">
        <f>-SUM(E9:E10)*'Fane 5. Individuelt eff. krav'!G14</f>
        <v>-829377.78333413496</v>
      </c>
      <c r="F11" s="8" t="s">
        <v>3</v>
      </c>
      <c r="G11" s="9">
        <f>C11+E11</f>
        <v>-1609993.5699035106</v>
      </c>
      <c r="H11" s="8" t="s">
        <v>3</v>
      </c>
      <c r="I11" s="1"/>
    </row>
    <row r="12" spans="1:9" ht="15" customHeight="1" x14ac:dyDescent="0.25">
      <c r="A12" s="1"/>
      <c r="B12" s="25" t="s">
        <v>24</v>
      </c>
      <c r="C12" s="9">
        <f>-'Fane 4.1. Gen. krav - drift'!C60</f>
        <v>-513326.2239981101</v>
      </c>
      <c r="D12" s="8" t="s">
        <v>3</v>
      </c>
      <c r="E12" s="9">
        <f>-'Fane 4.1. Gen. krav - drift'!E60</f>
        <v>-572139.64471558016</v>
      </c>
      <c r="F12" s="8" t="s">
        <v>3</v>
      </c>
      <c r="G12" s="9">
        <f>-'Fane 4.1. Gen. krav - drift'!G60</f>
        <v>-1085465.8687136904</v>
      </c>
      <c r="H12" s="8" t="s">
        <v>3</v>
      </c>
      <c r="I12" s="1"/>
    </row>
    <row r="13" spans="1:9" ht="15" customHeight="1" x14ac:dyDescent="0.25">
      <c r="A13" s="1"/>
      <c r="B13" s="25" t="s">
        <v>25</v>
      </c>
      <c r="C13" s="9">
        <f>-'Fane 4.2. Gen. krav - anlæg'!G49</f>
        <v>0</v>
      </c>
      <c r="D13" s="8" t="s">
        <v>3</v>
      </c>
      <c r="E13" s="9">
        <f>-'Fane 4.2. Gen. krav - anlæg'!I49</f>
        <v>0</v>
      </c>
      <c r="F13" s="8" t="s">
        <v>3</v>
      </c>
      <c r="G13" s="9">
        <f>-'Fane 4.2. Gen. krav - anlæg'!K49</f>
        <v>0</v>
      </c>
      <c r="H13" s="8" t="s">
        <v>3</v>
      </c>
      <c r="I13" s="1"/>
    </row>
    <row r="14" spans="1:9" ht="15" customHeight="1" x14ac:dyDescent="0.25">
      <c r="A14" s="1"/>
      <c r="B14" s="30" t="s">
        <v>21</v>
      </c>
      <c r="C14" s="10">
        <f>SUM(C9:C13)</f>
        <v>77679092.621657625</v>
      </c>
      <c r="D14" s="11" t="s">
        <v>3</v>
      </c>
      <c r="E14" s="10">
        <f t="shared" ref="E14" si="0">SUM(E9:E13)</f>
        <v>79161851.484766603</v>
      </c>
      <c r="F14" s="11" t="s">
        <v>3</v>
      </c>
      <c r="G14" s="10">
        <f t="shared" ref="G14" si="1">SUM(G9:G13)</f>
        <v>156840944.10642424</v>
      </c>
      <c r="H14" s="11" t="s">
        <v>3</v>
      </c>
      <c r="I14" s="1"/>
    </row>
    <row r="15" spans="1:9" x14ac:dyDescent="0.25">
      <c r="A15" s="1"/>
      <c r="B15" s="20" t="s">
        <v>12</v>
      </c>
      <c r="C15" s="27"/>
      <c r="D15" s="19"/>
      <c r="E15" s="27"/>
      <c r="F15" s="19"/>
      <c r="G15" s="27"/>
      <c r="H15" s="19"/>
      <c r="I15" s="1"/>
    </row>
    <row r="16" spans="1:9" ht="15" customHeight="1" x14ac:dyDescent="0.25">
      <c r="A16" s="1"/>
      <c r="B16" s="30" t="s">
        <v>12</v>
      </c>
      <c r="C16" s="10">
        <f>'Fane 6. Ikke-påvirkelige omk.'!C17*(1+'Fane 15. Nøgletal'!$C$15)^2+'Fane 6. Ikke-påvirkelige omk.'!C27+'Fane 6. Ikke-påvirkelige omk.'!C35</f>
        <v>4864188.612383916</v>
      </c>
      <c r="D16" s="11" t="s">
        <v>3</v>
      </c>
      <c r="E16" s="10">
        <f>'Fane 6. Ikke-påvirkelige omk.'!E17*(1+'Fane 15. Nøgletal'!$C$15)^2+'Fane 6. Ikke-påvirkelige omk.'!E27+'Fane 6. Ikke-påvirkelige omk.'!E35</f>
        <v>7945276.4754244806</v>
      </c>
      <c r="F16" s="11" t="s">
        <v>3</v>
      </c>
      <c r="G16" s="10">
        <f>'Fane 6. Ikke-påvirkelige omk.'!G17*(1+'Fane 15. Nøgletal'!$C$15)^2+'Fane 6. Ikke-påvirkelige omk.'!G27+'Fane 6. Ikke-påvirkelige omk.'!G35</f>
        <v>7641249.299815218</v>
      </c>
      <c r="H16" s="11" t="s">
        <v>3</v>
      </c>
      <c r="I16" s="1"/>
    </row>
    <row r="17" spans="1:9" ht="15" customHeight="1" x14ac:dyDescent="0.25">
      <c r="A17" s="1"/>
      <c r="B17" s="20" t="s">
        <v>85</v>
      </c>
      <c r="C17" s="27"/>
      <c r="D17" s="19"/>
      <c r="E17" s="27"/>
      <c r="F17" s="19"/>
      <c r="G17" s="27"/>
      <c r="H17" s="19"/>
      <c r="I17" s="1"/>
    </row>
    <row r="18" spans="1:9" ht="15" customHeight="1" x14ac:dyDescent="0.25">
      <c r="A18" s="1"/>
      <c r="B18" s="106" t="s">
        <v>85</v>
      </c>
      <c r="C18" s="10">
        <v>0</v>
      </c>
      <c r="D18" s="11" t="s">
        <v>3</v>
      </c>
      <c r="E18" s="10">
        <v>0</v>
      </c>
      <c r="F18" s="11" t="s">
        <v>3</v>
      </c>
      <c r="G18" s="10">
        <v>0</v>
      </c>
      <c r="H18" s="11" t="s">
        <v>3</v>
      </c>
      <c r="I18" s="1"/>
    </row>
    <row r="19" spans="1:9" x14ac:dyDescent="0.25">
      <c r="A19" s="1"/>
      <c r="B19" s="32" t="s">
        <v>139</v>
      </c>
      <c r="C19" s="27"/>
      <c r="D19" s="19"/>
      <c r="E19" s="27"/>
      <c r="F19" s="19"/>
      <c r="G19" s="27"/>
      <c r="H19" s="19"/>
      <c r="I19" s="1"/>
    </row>
    <row r="20" spans="1:9" ht="26.25" customHeight="1" x14ac:dyDescent="0.25">
      <c r="A20" s="1"/>
      <c r="B20" s="30" t="s">
        <v>175</v>
      </c>
      <c r="C20" s="10">
        <v>0</v>
      </c>
      <c r="D20" s="11" t="s">
        <v>3</v>
      </c>
      <c r="E20" s="10">
        <v>0</v>
      </c>
      <c r="F20" s="11" t="s">
        <v>3</v>
      </c>
      <c r="G20" s="10">
        <v>0</v>
      </c>
      <c r="H20" s="11" t="s">
        <v>3</v>
      </c>
      <c r="I20" s="1"/>
    </row>
    <row r="21" spans="1:9" ht="26.25" customHeight="1" x14ac:dyDescent="0.25">
      <c r="A21" s="1"/>
      <c r="B21" s="20" t="s">
        <v>169</v>
      </c>
      <c r="C21" s="27"/>
      <c r="D21" s="19"/>
      <c r="E21" s="27"/>
      <c r="F21" s="19"/>
      <c r="G21" s="27"/>
      <c r="H21" s="19"/>
      <c r="I21" s="1"/>
    </row>
    <row r="22" spans="1:9" ht="26.25" customHeight="1" x14ac:dyDescent="0.25">
      <c r="A22" s="1"/>
      <c r="B22" s="117" t="s">
        <v>170</v>
      </c>
      <c r="C22" s="120">
        <v>0</v>
      </c>
      <c r="D22" s="11" t="s">
        <v>3</v>
      </c>
      <c r="E22" s="120">
        <v>0</v>
      </c>
      <c r="F22" s="11" t="s">
        <v>3</v>
      </c>
      <c r="G22" s="120">
        <v>0</v>
      </c>
      <c r="H22" s="11" t="s">
        <v>3</v>
      </c>
      <c r="I22" s="1"/>
    </row>
    <row r="23" spans="1:9" x14ac:dyDescent="0.25">
      <c r="A23" s="1"/>
      <c r="B23" s="32" t="s">
        <v>125</v>
      </c>
      <c r="C23" s="47">
        <f>SUM(C14,C16,G18,G20,G22)</f>
        <v>82543281.234041542</v>
      </c>
      <c r="D23" s="29" t="s">
        <v>3</v>
      </c>
      <c r="E23" s="47">
        <f t="shared" ref="E23" si="2">SUM(E14,E16,I18,I20,I22)</f>
        <v>87107127.960191086</v>
      </c>
      <c r="F23" s="29" t="s">
        <v>3</v>
      </c>
      <c r="G23" s="47">
        <f t="shared" ref="G23" si="3">SUM(G14,G16,K18,K20,K22)</f>
        <v>164482193.40623945</v>
      </c>
      <c r="H23" s="29" t="s">
        <v>3</v>
      </c>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nwgAleshAVA4jD8qBE6F/6ZMvveP3kIqiA6aZ7wL4/SngQt4cSgZZ31pTtmMSDpVWfi7otdC4yiwdq16Cp0Wmg==" saltValue="BwtE3J3SonF7U8Q9aBMjyA==" spinCount="100000" sheet="1" objects="1" scenarios="1"/>
  <mergeCells count="5">
    <mergeCell ref="B3:H4"/>
    <mergeCell ref="B5:H5"/>
    <mergeCell ref="C8:D8"/>
    <mergeCell ref="E8:F8"/>
    <mergeCell ref="G8:H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51FB-65AC-402C-8803-0023788F6C74}">
  <dimension ref="A1:I45"/>
  <sheetViews>
    <sheetView showGridLines="0" view="pageLayout" topLeftCell="A4" zoomScaleNormal="100" workbookViewId="0">
      <selection activeCell="B8" sqref="B8:H23"/>
    </sheetView>
  </sheetViews>
  <sheetFormatPr defaultColWidth="9.140625" defaultRowHeight="15" x14ac:dyDescent="0.25"/>
  <cols>
    <col min="1" max="1" width="1.42578125" style="2" customWidth="1"/>
    <col min="2" max="2" width="38.42578125" style="2" customWidth="1"/>
    <col min="3" max="3" width="12.140625" style="2" customWidth="1"/>
    <col min="4" max="4" width="3.140625" style="2" customWidth="1"/>
    <col min="5" max="5" width="12.140625" style="2" customWidth="1"/>
    <col min="6" max="6" width="3.140625" style="2" customWidth="1"/>
    <col min="7" max="7" width="12.140625" style="2" customWidth="1"/>
    <col min="8" max="8" width="3.140625" style="2" customWidth="1"/>
    <col min="9" max="9" width="1.425781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57" t="s">
        <v>301</v>
      </c>
      <c r="C3" s="157"/>
      <c r="D3" s="157"/>
      <c r="E3" s="157"/>
      <c r="F3" s="157"/>
      <c r="G3" s="157"/>
      <c r="H3" s="157"/>
      <c r="I3" s="1"/>
    </row>
    <row r="4" spans="1:9" ht="15" customHeight="1" x14ac:dyDescent="0.25">
      <c r="A4" s="1"/>
      <c r="B4" s="157"/>
      <c r="C4" s="157"/>
      <c r="D4" s="157"/>
      <c r="E4" s="157"/>
      <c r="F4" s="157"/>
      <c r="G4" s="157"/>
      <c r="H4" s="157"/>
      <c r="I4" s="1"/>
    </row>
    <row r="5" spans="1:9" x14ac:dyDescent="0.25">
      <c r="A5" s="1"/>
      <c r="B5" s="158" t="s">
        <v>22</v>
      </c>
      <c r="C5" s="158"/>
      <c r="D5" s="158"/>
      <c r="E5" s="158"/>
      <c r="F5" s="158"/>
      <c r="G5" s="158"/>
      <c r="H5" s="158"/>
      <c r="I5" s="1"/>
    </row>
    <row r="6" spans="1:9" x14ac:dyDescent="0.25">
      <c r="A6" s="1"/>
      <c r="B6" s="1"/>
      <c r="C6" s="1"/>
      <c r="D6" s="1"/>
      <c r="E6" s="1"/>
      <c r="F6" s="1"/>
      <c r="G6" s="1"/>
      <c r="H6" s="1"/>
      <c r="I6" s="1"/>
    </row>
    <row r="7" spans="1:9" x14ac:dyDescent="0.25">
      <c r="A7" s="1"/>
      <c r="B7" s="1"/>
      <c r="C7" s="1"/>
      <c r="D7" s="1"/>
      <c r="E7" s="1"/>
      <c r="F7" s="1"/>
      <c r="G7" s="1"/>
      <c r="H7" s="1"/>
      <c r="I7" s="1"/>
    </row>
    <row r="8" spans="1:9" ht="26.25" customHeight="1" x14ac:dyDescent="0.25">
      <c r="A8" s="1"/>
      <c r="B8" s="20" t="s">
        <v>13</v>
      </c>
      <c r="C8" s="155" t="s">
        <v>271</v>
      </c>
      <c r="D8" s="155"/>
      <c r="E8" s="155" t="s">
        <v>272</v>
      </c>
      <c r="F8" s="155"/>
      <c r="G8" s="155" t="s">
        <v>298</v>
      </c>
      <c r="H8" s="156"/>
      <c r="I8" s="1"/>
    </row>
    <row r="9" spans="1:9" ht="26.25" customHeight="1" x14ac:dyDescent="0.25">
      <c r="A9" s="1"/>
      <c r="B9" s="28" t="s">
        <v>124</v>
      </c>
      <c r="C9" s="7">
        <f>'Fane 2.3. Økonomisk ramme 2025'!C14</f>
        <v>77679092.621657625</v>
      </c>
      <c r="D9" s="8" t="s">
        <v>3</v>
      </c>
      <c r="E9" s="7">
        <f>'Fane 2.3. Økonomisk ramme 2025'!E14</f>
        <v>79161851.484766603</v>
      </c>
      <c r="F9" s="8" t="s">
        <v>3</v>
      </c>
      <c r="G9" s="7">
        <f>'Fane 2.3. Økonomisk ramme 2025'!G14</f>
        <v>156840944.10642424</v>
      </c>
      <c r="H9" s="8" t="s">
        <v>3</v>
      </c>
      <c r="I9" s="1"/>
    </row>
    <row r="10" spans="1:9" ht="15" customHeight="1" x14ac:dyDescent="0.25">
      <c r="A10" s="1"/>
      <c r="B10" s="25" t="s">
        <v>19</v>
      </c>
      <c r="C10" s="7">
        <f>SUM(C9:C9)*'Fane 15. Nøgletal'!C15</f>
        <v>2765375.6973310113</v>
      </c>
      <c r="D10" s="8" t="s">
        <v>3</v>
      </c>
      <c r="E10" s="7">
        <f>SUM(E9:E9)*'Fane 15. Nøgletal'!C15</f>
        <v>2818161.9128576908</v>
      </c>
      <c r="F10" s="8" t="s">
        <v>3</v>
      </c>
      <c r="G10" s="7">
        <f>SUM(G9:G9)*'Fane 15. Nøgletal'!C15</f>
        <v>5583537.6101887031</v>
      </c>
      <c r="H10" s="8" t="s">
        <v>3</v>
      </c>
      <c r="I10" s="1"/>
    </row>
    <row r="11" spans="1:9" ht="15" customHeight="1" x14ac:dyDescent="0.25">
      <c r="A11" s="1"/>
      <c r="B11" s="25" t="s">
        <v>10</v>
      </c>
      <c r="C11" s="9">
        <f>-SUM(C9:C10)*'Fane 5. Individuelt eff. krav'!G9</f>
        <v>-795160.30002421094</v>
      </c>
      <c r="D11" s="8" t="s">
        <v>3</v>
      </c>
      <c r="E11" s="9">
        <f>-SUM(E9:E10)*'Fane 5. Individuelt eff. krav'!G14</f>
        <v>-843961.74970046279</v>
      </c>
      <c r="F11" s="8" t="s">
        <v>3</v>
      </c>
      <c r="G11" s="9">
        <f>C11+E11</f>
        <v>-1639122.0497246739</v>
      </c>
      <c r="H11" s="8" t="s">
        <v>3</v>
      </c>
      <c r="I11" s="1"/>
    </row>
    <row r="12" spans="1:9" ht="15" customHeight="1" x14ac:dyDescent="0.25">
      <c r="A12" s="1"/>
      <c r="B12" s="25" t="s">
        <v>24</v>
      </c>
      <c r="C12" s="9">
        <f>-'Fane 4.1. Gen. krav - drift'!C69</f>
        <v>-520968.62482099398</v>
      </c>
      <c r="D12" s="8" t="s">
        <v>3</v>
      </c>
      <c r="E12" s="9">
        <f>-'Fane 4.1. Gen. krav - drift'!E69</f>
        <v>-580657.65974610578</v>
      </c>
      <c r="F12" s="8" t="s">
        <v>3</v>
      </c>
      <c r="G12" s="9">
        <f>-'Fane 4.1. Gen. krav - drift'!G69</f>
        <v>-1101626.2845670998</v>
      </c>
      <c r="H12" s="8" t="s">
        <v>3</v>
      </c>
      <c r="I12" s="1"/>
    </row>
    <row r="13" spans="1:9" ht="15" customHeight="1" x14ac:dyDescent="0.25">
      <c r="A13" s="1"/>
      <c r="B13" s="25" t="s">
        <v>25</v>
      </c>
      <c r="C13" s="9">
        <f>-'Fane 4.2. Gen. krav - anlæg'!G49</f>
        <v>0</v>
      </c>
      <c r="D13" s="8" t="s">
        <v>3</v>
      </c>
      <c r="E13" s="9">
        <f>-'Fane 4.2. Gen. krav - anlæg'!I49</f>
        <v>0</v>
      </c>
      <c r="F13" s="8" t="s">
        <v>3</v>
      </c>
      <c r="G13" s="9">
        <f>-'Fane 4.2. Gen. krav - anlæg'!K49</f>
        <v>0</v>
      </c>
      <c r="H13" s="8" t="s">
        <v>3</v>
      </c>
      <c r="I13" s="1"/>
    </row>
    <row r="14" spans="1:9" ht="15" customHeight="1" x14ac:dyDescent="0.25">
      <c r="A14" s="1"/>
      <c r="B14" s="30" t="s">
        <v>21</v>
      </c>
      <c r="C14" s="10">
        <f>SUM(C9:C13)</f>
        <v>79128339.394143432</v>
      </c>
      <c r="D14" s="11" t="s">
        <v>3</v>
      </c>
      <c r="E14" s="10">
        <f t="shared" ref="E14" si="0">SUM(E9:E13)</f>
        <v>80555393.988177732</v>
      </c>
      <c r="F14" s="11" t="s">
        <v>3</v>
      </c>
      <c r="G14" s="10">
        <f t="shared" ref="G14" si="1">SUM(G9:G13)</f>
        <v>159683733.38232118</v>
      </c>
      <c r="H14" s="11" t="s">
        <v>3</v>
      </c>
      <c r="I14" s="1"/>
    </row>
    <row r="15" spans="1:9" x14ac:dyDescent="0.25">
      <c r="A15" s="1"/>
      <c r="B15" s="20" t="s">
        <v>12</v>
      </c>
      <c r="C15" s="27"/>
      <c r="D15" s="19"/>
      <c r="E15" s="27"/>
      <c r="F15" s="19"/>
      <c r="G15" s="27"/>
      <c r="H15" s="19"/>
      <c r="I15" s="1"/>
    </row>
    <row r="16" spans="1:9" ht="15" customHeight="1" x14ac:dyDescent="0.25">
      <c r="A16" s="1"/>
      <c r="B16" s="30" t="s">
        <v>12</v>
      </c>
      <c r="C16" s="10">
        <f>'Fane 6. Ikke-påvirkelige omk.'!C17*(1+'Fane 15. Nøgletal'!$C$15)^3+'Fane 6. Ikke-påvirkelige omk.'!C27+'Fane 6. Ikke-påvirkelige omk.'!C35</f>
        <v>5037353.726984784</v>
      </c>
      <c r="D16" s="11" t="s">
        <v>3</v>
      </c>
      <c r="E16" s="10">
        <f>'Fane 6. Ikke-påvirkelige omk.'!E17*(1+'Fane 15. Nøgletal'!$C$15)^3+'Fane 6. Ikke-påvirkelige omk.'!E27+'Fane 6. Ikke-påvirkelige omk.'!E35</f>
        <v>8228128.3179495931</v>
      </c>
      <c r="F16" s="11" t="s">
        <v>3</v>
      </c>
      <c r="G16" s="10">
        <f>'Fane 6. Ikke-påvirkelige omk.'!G17*(1+'Fane 15. Nøgletal'!$C$15)^3+'Fane 6. Ikke-påvirkelige omk.'!G27+'Fane 6. Ikke-påvirkelige omk.'!G35</f>
        <v>7913277.7748886403</v>
      </c>
      <c r="H16" s="11" t="s">
        <v>3</v>
      </c>
      <c r="I16" s="1"/>
    </row>
    <row r="17" spans="1:9" ht="15" customHeight="1" x14ac:dyDescent="0.25">
      <c r="A17" s="1"/>
      <c r="B17" s="20" t="s">
        <v>85</v>
      </c>
      <c r="C17" s="27"/>
      <c r="D17" s="19"/>
      <c r="E17" s="27"/>
      <c r="F17" s="19"/>
      <c r="G17" s="27"/>
      <c r="H17" s="19"/>
      <c r="I17" s="1"/>
    </row>
    <row r="18" spans="1:9" ht="15" customHeight="1" x14ac:dyDescent="0.25">
      <c r="A18" s="1"/>
      <c r="B18" s="106" t="s">
        <v>85</v>
      </c>
      <c r="C18" s="10">
        <v>0</v>
      </c>
      <c r="D18" s="11" t="s">
        <v>3</v>
      </c>
      <c r="E18" s="10">
        <v>0</v>
      </c>
      <c r="F18" s="11" t="s">
        <v>3</v>
      </c>
      <c r="G18" s="10">
        <v>0</v>
      </c>
      <c r="H18" s="11" t="s">
        <v>3</v>
      </c>
      <c r="I18" s="1"/>
    </row>
    <row r="19" spans="1:9" x14ac:dyDescent="0.25">
      <c r="A19" s="1"/>
      <c r="B19" s="32" t="s">
        <v>139</v>
      </c>
      <c r="C19" s="27"/>
      <c r="D19" s="19"/>
      <c r="E19" s="27"/>
      <c r="F19" s="19"/>
      <c r="G19" s="27"/>
      <c r="H19" s="19"/>
      <c r="I19" s="1"/>
    </row>
    <row r="20" spans="1:9" ht="26.25" customHeight="1" x14ac:dyDescent="0.25">
      <c r="A20" s="1"/>
      <c r="B20" s="30" t="s">
        <v>175</v>
      </c>
      <c r="C20" s="10">
        <v>0</v>
      </c>
      <c r="D20" s="11" t="s">
        <v>3</v>
      </c>
      <c r="E20" s="10">
        <v>0</v>
      </c>
      <c r="F20" s="11" t="s">
        <v>3</v>
      </c>
      <c r="G20" s="10">
        <v>0</v>
      </c>
      <c r="H20" s="11" t="s">
        <v>3</v>
      </c>
      <c r="I20" s="1"/>
    </row>
    <row r="21" spans="1:9" ht="26.25" customHeight="1" x14ac:dyDescent="0.25">
      <c r="A21" s="1"/>
      <c r="B21" s="20" t="s">
        <v>169</v>
      </c>
      <c r="C21" s="27"/>
      <c r="D21" s="19"/>
      <c r="E21" s="27"/>
      <c r="F21" s="19"/>
      <c r="G21" s="27"/>
      <c r="H21" s="19"/>
      <c r="I21" s="1"/>
    </row>
    <row r="22" spans="1:9" ht="26.25" customHeight="1" x14ac:dyDescent="0.25">
      <c r="A22" s="1"/>
      <c r="B22" s="117" t="s">
        <v>170</v>
      </c>
      <c r="C22" s="120">
        <v>0</v>
      </c>
      <c r="D22" s="11" t="s">
        <v>3</v>
      </c>
      <c r="E22" s="120">
        <v>0</v>
      </c>
      <c r="F22" s="11" t="s">
        <v>3</v>
      </c>
      <c r="G22" s="120">
        <v>0</v>
      </c>
      <c r="H22" s="11" t="s">
        <v>3</v>
      </c>
      <c r="I22" s="1"/>
    </row>
    <row r="23" spans="1:9" x14ac:dyDescent="0.25">
      <c r="A23" s="1"/>
      <c r="B23" s="32" t="s">
        <v>125</v>
      </c>
      <c r="C23" s="47">
        <f>SUM(C14,C16,G18,G20,G22)</f>
        <v>84165693.121128216</v>
      </c>
      <c r="D23" s="29" t="s">
        <v>3</v>
      </c>
      <c r="E23" s="47">
        <f t="shared" ref="E23" si="2">SUM(E14,E16,I18,I20,I22)</f>
        <v>88783522.306127325</v>
      </c>
      <c r="F23" s="29" t="s">
        <v>3</v>
      </c>
      <c r="G23" s="47">
        <f t="shared" ref="G23" si="3">SUM(G14,G16,K18,K20,K22)</f>
        <v>167597011.15720981</v>
      </c>
      <c r="H23" s="29" t="s">
        <v>3</v>
      </c>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RAIOQIbZQlhU1ioOzaEK/dR/i6Tg8zf1YtbQ9y8ADWJOobF5s42+/DJgxmyWBBoACoRJ2R9dhwfh5lxp6ktkOQ==" saltValue="lPl27E34Dk96Ahh5+fUhaQ==" spinCount="100000" sheet="1" objects="1" scenarios="1"/>
  <mergeCells count="5">
    <mergeCell ref="B3:H4"/>
    <mergeCell ref="B5:H5"/>
    <mergeCell ref="C8:D8"/>
    <mergeCell ref="E8:F8"/>
    <mergeCell ref="G8:H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I49"/>
  <sheetViews>
    <sheetView showGridLines="0" view="pageLayout" zoomScaleNormal="100" workbookViewId="0">
      <selection activeCell="B38" sqref="B38"/>
    </sheetView>
  </sheetViews>
  <sheetFormatPr defaultColWidth="9.140625" defaultRowHeight="15" x14ac:dyDescent="0.25"/>
  <cols>
    <col min="1" max="1" width="1.42578125" style="2" customWidth="1"/>
    <col min="2" max="2" width="38.42578125" style="2" customWidth="1"/>
    <col min="3" max="3" width="12.140625" style="2" customWidth="1"/>
    <col min="4" max="4" width="3.140625" style="2" customWidth="1"/>
    <col min="5" max="5" width="12.140625" style="2" customWidth="1"/>
    <col min="6" max="6" width="3.140625" style="2" customWidth="1"/>
    <col min="7" max="7" width="12.140625" style="2" customWidth="1"/>
    <col min="8" max="8" width="3.140625" style="2" customWidth="1"/>
    <col min="9" max="9" width="1.425781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59" t="s">
        <v>182</v>
      </c>
      <c r="C3" s="159"/>
      <c r="D3" s="159"/>
      <c r="E3" s="159"/>
      <c r="F3" s="159"/>
      <c r="G3" s="159"/>
      <c r="H3" s="159"/>
      <c r="I3" s="1"/>
    </row>
    <row r="4" spans="1:9" ht="29.25" customHeight="1" x14ac:dyDescent="0.25">
      <c r="A4" s="1"/>
      <c r="B4" s="159"/>
      <c r="C4" s="159"/>
      <c r="D4" s="159"/>
      <c r="E4" s="159"/>
      <c r="F4" s="159"/>
      <c r="G4" s="159"/>
      <c r="H4" s="15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ht="26.25" x14ac:dyDescent="0.25">
      <c r="A8" s="1"/>
      <c r="B8" s="20" t="s">
        <v>295</v>
      </c>
      <c r="C8" s="155" t="s">
        <v>271</v>
      </c>
      <c r="D8" s="155"/>
      <c r="E8" s="155" t="s">
        <v>272</v>
      </c>
      <c r="F8" s="155"/>
      <c r="G8" s="155" t="s">
        <v>298</v>
      </c>
      <c r="H8" s="156"/>
      <c r="I8" s="1"/>
    </row>
    <row r="9" spans="1:9" ht="26.25" customHeight="1" x14ac:dyDescent="0.25">
      <c r="A9" s="1"/>
      <c r="B9" s="28" t="s">
        <v>183</v>
      </c>
      <c r="C9" s="7">
        <v>78507421.206479535</v>
      </c>
      <c r="D9" s="103" t="s">
        <v>3</v>
      </c>
      <c r="E9" s="7">
        <v>76140670.529444277</v>
      </c>
      <c r="F9" s="103" t="s">
        <v>3</v>
      </c>
      <c r="G9" s="7">
        <f>C9+E9</f>
        <v>154648091.73592383</v>
      </c>
      <c r="H9" s="111" t="s">
        <v>3</v>
      </c>
      <c r="I9" s="1"/>
    </row>
    <row r="10" spans="1:9" ht="15" customHeight="1" x14ac:dyDescent="0.25">
      <c r="A10" s="1"/>
      <c r="B10" s="25" t="s">
        <v>39</v>
      </c>
      <c r="C10" s="7">
        <v>0</v>
      </c>
      <c r="D10" s="112" t="s">
        <v>3</v>
      </c>
      <c r="E10" s="7">
        <v>0</v>
      </c>
      <c r="F10" s="112" t="s">
        <v>3</v>
      </c>
      <c r="G10" s="7">
        <f t="shared" ref="G10:G19" si="0">C10+E10</f>
        <v>0</v>
      </c>
      <c r="H10" s="113" t="s">
        <v>3</v>
      </c>
      <c r="I10" s="1"/>
    </row>
    <row r="11" spans="1:9" ht="15" customHeight="1" x14ac:dyDescent="0.25">
      <c r="A11" s="1"/>
      <c r="B11" s="25" t="s">
        <v>40</v>
      </c>
      <c r="C11" s="9">
        <v>0</v>
      </c>
      <c r="D11" s="112" t="s">
        <v>3</v>
      </c>
      <c r="E11" s="9">
        <v>0</v>
      </c>
      <c r="F11" s="112" t="s">
        <v>3</v>
      </c>
      <c r="G11" s="7">
        <f t="shared" si="0"/>
        <v>0</v>
      </c>
      <c r="H11" s="113" t="s">
        <v>3</v>
      </c>
      <c r="I11" s="1"/>
    </row>
    <row r="12" spans="1:9" ht="15" customHeight="1" x14ac:dyDescent="0.25">
      <c r="A12" s="1"/>
      <c r="B12" s="25" t="s">
        <v>27</v>
      </c>
      <c r="C12" s="9">
        <v>0</v>
      </c>
      <c r="D12" s="112" t="s">
        <v>3</v>
      </c>
      <c r="E12" s="9">
        <v>0</v>
      </c>
      <c r="F12" s="112" t="s">
        <v>3</v>
      </c>
      <c r="G12" s="7">
        <f t="shared" si="0"/>
        <v>0</v>
      </c>
      <c r="H12" s="113" t="s">
        <v>3</v>
      </c>
      <c r="I12" s="1"/>
    </row>
    <row r="13" spans="1:9" ht="15" customHeight="1" x14ac:dyDescent="0.25">
      <c r="A13" s="1"/>
      <c r="B13" s="28" t="s">
        <v>26</v>
      </c>
      <c r="C13" s="9">
        <v>0</v>
      </c>
      <c r="D13" s="103" t="s">
        <v>3</v>
      </c>
      <c r="E13" s="9">
        <v>0</v>
      </c>
      <c r="F13" s="103" t="s">
        <v>3</v>
      </c>
      <c r="G13" s="7">
        <f t="shared" si="0"/>
        <v>0</v>
      </c>
      <c r="H13" s="111" t="s">
        <v>3</v>
      </c>
      <c r="I13" s="1"/>
    </row>
    <row r="14" spans="1:9" ht="15" customHeight="1" x14ac:dyDescent="0.25">
      <c r="A14" s="1"/>
      <c r="B14" s="28" t="s">
        <v>29</v>
      </c>
      <c r="C14" s="9">
        <v>0</v>
      </c>
      <c r="D14" s="103" t="s">
        <v>3</v>
      </c>
      <c r="E14" s="9">
        <v>0</v>
      </c>
      <c r="F14" s="103" t="s">
        <v>3</v>
      </c>
      <c r="G14" s="7">
        <f t="shared" si="0"/>
        <v>0</v>
      </c>
      <c r="H14" s="111" t="s">
        <v>3</v>
      </c>
      <c r="I14" s="1"/>
    </row>
    <row r="15" spans="1:9" ht="15" customHeight="1" x14ac:dyDescent="0.25">
      <c r="A15" s="1"/>
      <c r="B15" s="28" t="s">
        <v>28</v>
      </c>
      <c r="C15" s="9">
        <v>0</v>
      </c>
      <c r="D15" s="103" t="s">
        <v>3</v>
      </c>
      <c r="E15" s="9">
        <v>0</v>
      </c>
      <c r="F15" s="103" t="s">
        <v>3</v>
      </c>
      <c r="G15" s="7">
        <f t="shared" si="0"/>
        <v>0</v>
      </c>
      <c r="H15" s="111" t="s">
        <v>3</v>
      </c>
      <c r="I15" s="1"/>
    </row>
    <row r="16" spans="1:9" ht="15" customHeight="1" x14ac:dyDescent="0.25">
      <c r="A16" s="1"/>
      <c r="B16" s="28" t="s">
        <v>19</v>
      </c>
      <c r="C16" s="9">
        <f>SUM(C9:C15)*'Fane 15. Nøgletal'!C14</f>
        <v>259074.48998138247</v>
      </c>
      <c r="D16" s="103" t="s">
        <v>3</v>
      </c>
      <c r="E16" s="9">
        <f>SUM(E9:E15)*'Fane 15. Nøgletal'!C14</f>
        <v>251264.21274716611</v>
      </c>
      <c r="F16" s="103" t="s">
        <v>3</v>
      </c>
      <c r="G16" s="7">
        <f t="shared" si="0"/>
        <v>510338.70272854855</v>
      </c>
      <c r="H16" s="111" t="s">
        <v>3</v>
      </c>
      <c r="I16" s="1"/>
    </row>
    <row r="17" spans="1:9" ht="15" customHeight="1" x14ac:dyDescent="0.25">
      <c r="A17" s="1"/>
      <c r="B17" s="28" t="s">
        <v>10</v>
      </c>
      <c r="C17" s="9">
        <v>-778574.23460737232</v>
      </c>
      <c r="D17" s="103" t="s">
        <v>3</v>
      </c>
      <c r="E17" s="9">
        <v>-786434.01282844634</v>
      </c>
      <c r="F17" s="103" t="s">
        <v>3</v>
      </c>
      <c r="G17" s="7">
        <f t="shared" si="0"/>
        <v>-1565008.2474358187</v>
      </c>
      <c r="H17" s="111" t="s">
        <v>3</v>
      </c>
      <c r="I17" s="1"/>
    </row>
    <row r="18" spans="1:9" ht="15" customHeight="1" x14ac:dyDescent="0.25">
      <c r="A18" s="1"/>
      <c r="B18" s="28" t="s">
        <v>24</v>
      </c>
      <c r="C18" s="9">
        <f>-'Fane 4.1. Gen. krav - drift'!C44</f>
        <v>-506874.36622026353</v>
      </c>
      <c r="D18" s="103" t="s">
        <v>3</v>
      </c>
      <c r="E18" s="9">
        <f>-'Fane 4.1. Gen. krav - drift'!E44</f>
        <v>-508800.50398420973</v>
      </c>
      <c r="F18" s="103" t="s">
        <v>3</v>
      </c>
      <c r="G18" s="7">
        <f t="shared" si="0"/>
        <v>-1015674.8702044733</v>
      </c>
      <c r="H18" s="111" t="s">
        <v>3</v>
      </c>
      <c r="I18" s="1"/>
    </row>
    <row r="19" spans="1:9" ht="15" customHeight="1" x14ac:dyDescent="0.25">
      <c r="A19" s="1"/>
      <c r="B19" s="28" t="s">
        <v>25</v>
      </c>
      <c r="C19" s="9">
        <f>-'Fane 4.2. Gen. krav - anlæg'!C38</f>
        <v>-809740.27043682185</v>
      </c>
      <c r="D19" s="103" t="s">
        <v>3</v>
      </c>
      <c r="E19" s="9">
        <f>-'Fane 4.2. Gen. krav - anlæg'!E38</f>
        <v>-832583.78995508759</v>
      </c>
      <c r="F19" s="103" t="s">
        <v>3</v>
      </c>
      <c r="G19" s="7">
        <f t="shared" si="0"/>
        <v>-1642324.0603919094</v>
      </c>
      <c r="H19" s="111" t="s">
        <v>3</v>
      </c>
      <c r="I19" s="1"/>
    </row>
    <row r="20" spans="1:9" ht="15" customHeight="1" x14ac:dyDescent="0.25">
      <c r="A20" s="1"/>
      <c r="B20" s="129" t="s">
        <v>21</v>
      </c>
      <c r="C20" s="10">
        <f>SUM(C9:C19)</f>
        <v>76671306.82519646</v>
      </c>
      <c r="D20" s="130" t="s">
        <v>3</v>
      </c>
      <c r="E20" s="10">
        <f t="shared" ref="E20" si="1">SUM(E9:E19)</f>
        <v>74264116.435423702</v>
      </c>
      <c r="F20" s="130" t="s">
        <v>3</v>
      </c>
      <c r="G20" s="10">
        <f>SUM(G9:G19)</f>
        <v>150935423.26062018</v>
      </c>
      <c r="H20" s="131" t="s">
        <v>3</v>
      </c>
      <c r="I20" s="1"/>
    </row>
    <row r="21" spans="1:9" ht="15" customHeight="1" x14ac:dyDescent="0.25">
      <c r="A21" s="1"/>
      <c r="B21" s="32" t="s">
        <v>12</v>
      </c>
      <c r="C21" s="27"/>
      <c r="D21" s="27"/>
      <c r="E21" s="27"/>
      <c r="F21" s="27"/>
      <c r="G21" s="27"/>
      <c r="H21" s="19"/>
      <c r="I21" s="1"/>
    </row>
    <row r="22" spans="1:9" ht="15" customHeight="1" x14ac:dyDescent="0.25">
      <c r="A22" s="1"/>
      <c r="B22" s="30" t="s">
        <v>12</v>
      </c>
      <c r="C22" s="10">
        <v>3717966.6461486104</v>
      </c>
      <c r="D22" s="114" t="s">
        <v>3</v>
      </c>
      <c r="E22" s="10">
        <v>8928280.2408231609</v>
      </c>
      <c r="F22" s="114" t="s">
        <v>3</v>
      </c>
      <c r="G22" s="10">
        <f>C22+E22</f>
        <v>12646246.886971772</v>
      </c>
      <c r="H22" s="31" t="s">
        <v>3</v>
      </c>
      <c r="I22" s="1"/>
    </row>
    <row r="23" spans="1:9" ht="15" customHeight="1" x14ac:dyDescent="0.25">
      <c r="A23" s="1"/>
      <c r="B23" s="32" t="s">
        <v>85</v>
      </c>
      <c r="C23" s="27"/>
      <c r="D23" s="27"/>
      <c r="E23" s="27"/>
      <c r="F23" s="27"/>
      <c r="G23" s="27"/>
      <c r="H23" s="19"/>
      <c r="I23" s="1"/>
    </row>
    <row r="24" spans="1:9" ht="15" customHeight="1" x14ac:dyDescent="0.25">
      <c r="A24" s="1"/>
      <c r="B24" s="106" t="s">
        <v>85</v>
      </c>
      <c r="C24" s="10">
        <v>0</v>
      </c>
      <c r="D24" s="108" t="s">
        <v>3</v>
      </c>
      <c r="E24" s="10">
        <v>0</v>
      </c>
      <c r="F24" s="108" t="s">
        <v>3</v>
      </c>
      <c r="G24" s="10">
        <f>C24+E24</f>
        <v>0</v>
      </c>
      <c r="H24" s="109" t="s">
        <v>3</v>
      </c>
      <c r="I24" s="1"/>
    </row>
    <row r="25" spans="1:9" x14ac:dyDescent="0.25">
      <c r="A25" s="1"/>
      <c r="B25" s="32" t="s">
        <v>84</v>
      </c>
      <c r="C25" s="27"/>
      <c r="D25" s="27"/>
      <c r="E25" s="27"/>
      <c r="F25" s="27"/>
      <c r="G25" s="27"/>
      <c r="H25" s="19"/>
      <c r="I25" s="1"/>
    </row>
    <row r="26" spans="1:9" ht="15" customHeight="1" x14ac:dyDescent="0.25">
      <c r="A26" s="1"/>
      <c r="B26" s="87" t="s">
        <v>80</v>
      </c>
      <c r="C26" s="9">
        <v>0</v>
      </c>
      <c r="D26" s="115" t="s">
        <v>3</v>
      </c>
      <c r="E26" s="9">
        <v>0</v>
      </c>
      <c r="F26" s="115" t="s">
        <v>3</v>
      </c>
      <c r="G26" s="43">
        <f>C26+E26</f>
        <v>0</v>
      </c>
      <c r="H26" s="116" t="s">
        <v>3</v>
      </c>
      <c r="I26" s="1"/>
    </row>
    <row r="27" spans="1:9" ht="15" customHeight="1" x14ac:dyDescent="0.25">
      <c r="A27" s="1"/>
      <c r="B27" s="87" t="s">
        <v>81</v>
      </c>
      <c r="C27" s="9">
        <v>0</v>
      </c>
      <c r="D27" s="115" t="s">
        <v>3</v>
      </c>
      <c r="E27" s="9">
        <v>0</v>
      </c>
      <c r="F27" s="115" t="s">
        <v>3</v>
      </c>
      <c r="G27" s="43">
        <f>C27+E27</f>
        <v>0</v>
      </c>
      <c r="H27" s="116" t="s">
        <v>3</v>
      </c>
      <c r="I27" s="1"/>
    </row>
    <row r="28" spans="1:9" ht="15" customHeight="1" x14ac:dyDescent="0.25">
      <c r="A28" s="1"/>
      <c r="B28" s="26" t="s">
        <v>86</v>
      </c>
      <c r="C28" s="39">
        <v>0</v>
      </c>
      <c r="D28" s="37" t="s">
        <v>3</v>
      </c>
      <c r="E28" s="39">
        <v>0</v>
      </c>
      <c r="F28" s="37" t="s">
        <v>3</v>
      </c>
      <c r="G28" s="10">
        <f>C28+E28</f>
        <v>0</v>
      </c>
      <c r="H28" s="38" t="s">
        <v>3</v>
      </c>
      <c r="I28" s="1"/>
    </row>
    <row r="29" spans="1:9" ht="15" customHeight="1" x14ac:dyDescent="0.25">
      <c r="A29" s="1"/>
      <c r="B29" s="32" t="s">
        <v>139</v>
      </c>
      <c r="C29" s="27"/>
      <c r="D29" s="27"/>
      <c r="E29" s="27"/>
      <c r="F29" s="27"/>
      <c r="G29" s="27"/>
      <c r="H29" s="19"/>
      <c r="I29" s="1"/>
    </row>
    <row r="30" spans="1:9" ht="15" customHeight="1" x14ac:dyDescent="0.25">
      <c r="A30" s="1"/>
      <c r="B30" s="26" t="s">
        <v>138</v>
      </c>
      <c r="C30" s="39">
        <v>0</v>
      </c>
      <c r="D30" s="37" t="s">
        <v>3</v>
      </c>
      <c r="E30" s="39">
        <v>0</v>
      </c>
      <c r="F30" s="37" t="s">
        <v>3</v>
      </c>
      <c r="G30" s="10">
        <f>C30+E30</f>
        <v>0</v>
      </c>
      <c r="H30" s="38" t="s">
        <v>3</v>
      </c>
      <c r="I30" s="1"/>
    </row>
    <row r="31" spans="1:9" x14ac:dyDescent="0.25">
      <c r="A31" s="1"/>
      <c r="B31" s="32" t="s">
        <v>120</v>
      </c>
      <c r="C31" s="27"/>
      <c r="D31" s="27"/>
      <c r="E31" s="27"/>
      <c r="F31" s="27"/>
      <c r="G31" s="27"/>
      <c r="H31" s="19"/>
      <c r="I31" s="1"/>
    </row>
    <row r="32" spans="1:9" ht="15.4" customHeight="1" x14ac:dyDescent="0.25">
      <c r="A32" s="1"/>
      <c r="B32" s="26" t="s">
        <v>120</v>
      </c>
      <c r="C32" s="10">
        <v>0</v>
      </c>
      <c r="D32" s="37" t="s">
        <v>3</v>
      </c>
      <c r="E32" s="10">
        <v>0</v>
      </c>
      <c r="F32" s="37" t="s">
        <v>3</v>
      </c>
      <c r="G32" s="10">
        <f>C32+E32</f>
        <v>0</v>
      </c>
      <c r="H32" s="38" t="s">
        <v>3</v>
      </c>
      <c r="I32" s="1"/>
    </row>
    <row r="33" spans="1:9" ht="15" customHeight="1" x14ac:dyDescent="0.25">
      <c r="A33" s="1"/>
      <c r="B33" s="32" t="s">
        <v>169</v>
      </c>
      <c r="C33" s="27"/>
      <c r="D33" s="27"/>
      <c r="E33" s="27"/>
      <c r="F33" s="27"/>
      <c r="G33" s="27"/>
      <c r="H33" s="19"/>
      <c r="I33" s="1"/>
    </row>
    <row r="34" spans="1:9" ht="26.25" customHeight="1" x14ac:dyDescent="0.25">
      <c r="A34" s="1"/>
      <c r="B34" s="117" t="s">
        <v>170</v>
      </c>
      <c r="C34" s="10">
        <f>'Fane 8. Skattesagen'!G11</f>
        <v>0</v>
      </c>
      <c r="D34" s="79" t="s">
        <v>3</v>
      </c>
      <c r="E34" s="10">
        <v>0</v>
      </c>
      <c r="F34" s="79" t="s">
        <v>3</v>
      </c>
      <c r="G34" s="10">
        <f>C34+E34</f>
        <v>0</v>
      </c>
      <c r="H34" s="79" t="s">
        <v>3</v>
      </c>
      <c r="I34" s="1"/>
    </row>
    <row r="35" spans="1:9" x14ac:dyDescent="0.25">
      <c r="A35" s="1"/>
      <c r="B35" s="32" t="s">
        <v>207</v>
      </c>
      <c r="C35" s="118">
        <f>SUM(C32,C30,C28,C24,C22,C20,C34)</f>
        <v>80389273.471345067</v>
      </c>
      <c r="D35" s="27" t="s">
        <v>3</v>
      </c>
      <c r="E35" s="118">
        <f>SUM(E32,E30,E28,E24,E22,E20,E34)</f>
        <v>83192396.676246867</v>
      </c>
      <c r="F35" s="27" t="s">
        <v>3</v>
      </c>
      <c r="G35" s="118">
        <f>SUM(G32,G30,G28,G24,G22,G20,G34)</f>
        <v>163581670.14759195</v>
      </c>
      <c r="H35" s="19" t="s">
        <v>3</v>
      </c>
      <c r="I35" s="1"/>
    </row>
    <row r="36" spans="1:9" ht="27" customHeight="1" x14ac:dyDescent="0.25">
      <c r="A36" s="1"/>
      <c r="B36" s="160" t="s">
        <v>210</v>
      </c>
      <c r="C36" s="161"/>
      <c r="D36" s="161"/>
      <c r="E36" s="161"/>
      <c r="F36" s="161"/>
      <c r="G36" s="161"/>
      <c r="H36" s="162"/>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45"/>
      <c r="B46" s="45"/>
      <c r="C46" s="45"/>
      <c r="D46" s="45"/>
      <c r="E46" s="45"/>
      <c r="F46" s="45"/>
      <c r="G46" s="45"/>
      <c r="H46" s="45"/>
      <c r="I46" s="45"/>
    </row>
    <row r="47" spans="1:9" x14ac:dyDescent="0.25">
      <c r="A47" s="45"/>
      <c r="B47" s="45"/>
      <c r="C47" s="45"/>
      <c r="D47" s="45"/>
      <c r="E47" s="45"/>
      <c r="F47" s="45"/>
      <c r="G47" s="45"/>
      <c r="H47" s="45"/>
      <c r="I47" s="45"/>
    </row>
    <row r="48" spans="1:9" x14ac:dyDescent="0.25">
      <c r="A48" s="45"/>
      <c r="B48" s="45"/>
      <c r="C48" s="45"/>
      <c r="D48" s="45"/>
      <c r="E48" s="45"/>
      <c r="F48" s="45"/>
      <c r="G48" s="45"/>
      <c r="H48" s="45"/>
      <c r="I48" s="45"/>
    </row>
    <row r="49" spans="1:9" x14ac:dyDescent="0.25">
      <c r="A49" s="45"/>
      <c r="B49" s="45"/>
      <c r="C49" s="45"/>
      <c r="D49" s="45"/>
      <c r="E49" s="45"/>
      <c r="F49" s="45"/>
      <c r="G49" s="45"/>
      <c r="H49" s="45"/>
      <c r="I49" s="45"/>
    </row>
  </sheetData>
  <sheetProtection algorithmName="SHA-512" hashValue="yBSiAt2Vy9fzhq9WDw+C34FttFjOuCBGJQgdWCcJ1ywsMMi1cqL8KYhV/gv4HkH5M+SBjFzSGjs2TvekzfpP4w==" saltValue="mhbYXq4i+f7c4U8xI3uIbg==" spinCount="100000" sheet="1" objects="1" scenarios="1"/>
  <mergeCells count="5">
    <mergeCell ref="B3:H4"/>
    <mergeCell ref="C8:D8"/>
    <mergeCell ref="E8:F8"/>
    <mergeCell ref="G8:H8"/>
    <mergeCell ref="B36:H3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74"/>
  <sheetViews>
    <sheetView showGridLines="0" view="pageLayout" zoomScaleNormal="100" workbookViewId="0">
      <selection activeCell="C11" sqref="C11"/>
    </sheetView>
  </sheetViews>
  <sheetFormatPr defaultColWidth="9.140625" defaultRowHeight="15" x14ac:dyDescent="0.25"/>
  <cols>
    <col min="1" max="1" width="1.42578125" style="2" customWidth="1"/>
    <col min="2" max="2" width="38.42578125" style="2" customWidth="1"/>
    <col min="3" max="3" width="12.140625" style="2" customWidth="1"/>
    <col min="4" max="4" width="3.140625" style="2" customWidth="1"/>
    <col min="5" max="5" width="12.140625" style="2" customWidth="1"/>
    <col min="6" max="6" width="3.140625" style="2" customWidth="1"/>
    <col min="7" max="7" width="12.140625" style="2" customWidth="1"/>
    <col min="8" max="8" width="3.140625" style="2" customWidth="1"/>
    <col min="9" max="9" width="1.425781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59" t="s">
        <v>106</v>
      </c>
      <c r="C2" s="159"/>
      <c r="D2" s="159"/>
      <c r="E2" s="159"/>
      <c r="F2" s="159"/>
      <c r="G2" s="159"/>
      <c r="H2" s="159"/>
      <c r="I2" s="1"/>
    </row>
    <row r="3" spans="1:9" ht="28.5" customHeight="1" x14ac:dyDescent="0.25">
      <c r="A3" s="1"/>
      <c r="B3" s="159"/>
      <c r="C3" s="159"/>
      <c r="D3" s="159"/>
      <c r="E3" s="159"/>
      <c r="F3" s="159"/>
      <c r="G3" s="159"/>
      <c r="H3" s="159"/>
      <c r="I3" s="1"/>
    </row>
    <row r="4" spans="1:9" ht="39" x14ac:dyDescent="0.25">
      <c r="A4" s="1"/>
      <c r="B4" s="20" t="s">
        <v>52</v>
      </c>
      <c r="C4" s="155" t="s">
        <v>271</v>
      </c>
      <c r="D4" s="155"/>
      <c r="E4" s="155" t="s">
        <v>272</v>
      </c>
      <c r="F4" s="155"/>
      <c r="G4" s="155" t="s">
        <v>298</v>
      </c>
      <c r="H4" s="156"/>
      <c r="I4" s="1"/>
    </row>
    <row r="5" spans="1:9" ht="26.25" customHeight="1" x14ac:dyDescent="0.25">
      <c r="A5" s="1"/>
      <c r="B5" s="28" t="s">
        <v>41</v>
      </c>
      <c r="C5" s="64">
        <v>26016840</v>
      </c>
      <c r="D5" s="14" t="s">
        <v>3</v>
      </c>
      <c r="E5" s="64">
        <v>26058095.539709698</v>
      </c>
      <c r="F5" s="14" t="s">
        <v>3</v>
      </c>
      <c r="G5" s="64">
        <f>C5+E5</f>
        <v>52074935.539709702</v>
      </c>
      <c r="H5" s="14" t="s">
        <v>3</v>
      </c>
      <c r="I5" s="1"/>
    </row>
    <row r="6" spans="1:9" ht="26.25" customHeight="1" x14ac:dyDescent="0.25">
      <c r="A6" s="1"/>
      <c r="B6" s="28" t="s">
        <v>117</v>
      </c>
      <c r="C6" s="65">
        <v>0</v>
      </c>
      <c r="D6" s="14" t="s">
        <v>3</v>
      </c>
      <c r="E6" s="65">
        <v>0</v>
      </c>
      <c r="F6" s="14" t="s">
        <v>3</v>
      </c>
      <c r="G6" s="64">
        <f>C6+E6</f>
        <v>0</v>
      </c>
      <c r="H6" s="14" t="s">
        <v>3</v>
      </c>
      <c r="I6" s="1"/>
    </row>
    <row r="7" spans="1:9" ht="26.25" customHeight="1" x14ac:dyDescent="0.25">
      <c r="A7" s="1"/>
      <c r="B7" s="28" t="s">
        <v>42</v>
      </c>
      <c r="C7" s="64">
        <f>SUM(C5:C6)*'Fane 15. Nøgletal'!$C$31</f>
        <v>520336.8</v>
      </c>
      <c r="D7" s="14" t="s">
        <v>3</v>
      </c>
      <c r="E7" s="64">
        <f>SUM(E5:E6)*'Fane 15. Nøgletal'!$C$31</f>
        <v>521161.91079419397</v>
      </c>
      <c r="F7" s="14" t="s">
        <v>3</v>
      </c>
      <c r="G7" s="64">
        <f>SUM(G5:G6)*'Fane 15. Nøgletal'!C31</f>
        <v>1041498.710794194</v>
      </c>
      <c r="H7" s="14" t="s">
        <v>3</v>
      </c>
      <c r="I7" s="1"/>
    </row>
    <row r="8" spans="1:9" x14ac:dyDescent="0.25">
      <c r="A8" s="1"/>
      <c r="B8" s="20"/>
      <c r="C8" s="27"/>
      <c r="D8" s="27"/>
      <c r="E8" s="27"/>
      <c r="F8" s="27"/>
      <c r="G8" s="66"/>
      <c r="H8" s="19"/>
      <c r="I8" s="1"/>
    </row>
    <row r="9" spans="1:9" x14ac:dyDescent="0.25">
      <c r="A9" s="1"/>
      <c r="B9" s="91"/>
      <c r="C9" s="1"/>
      <c r="D9" s="1"/>
      <c r="E9" s="1"/>
      <c r="F9" s="1"/>
      <c r="G9" s="67"/>
      <c r="H9" s="1"/>
      <c r="I9" s="1"/>
    </row>
    <row r="10" spans="1:9" ht="39" x14ac:dyDescent="0.25">
      <c r="A10" s="1"/>
      <c r="B10" s="20" t="s">
        <v>53</v>
      </c>
      <c r="C10" s="155" t="s">
        <v>271</v>
      </c>
      <c r="D10" s="155"/>
      <c r="E10" s="155" t="s">
        <v>272</v>
      </c>
      <c r="F10" s="155"/>
      <c r="G10" s="155" t="s">
        <v>298</v>
      </c>
      <c r="H10" s="156"/>
      <c r="I10" s="1"/>
    </row>
    <row r="11" spans="1:9" ht="26.25" customHeight="1" x14ac:dyDescent="0.25">
      <c r="A11" s="1"/>
      <c r="B11" s="28" t="s">
        <v>43</v>
      </c>
      <c r="C11" s="64">
        <f>(C5-C7)*(1+'Fane 15. Nøgletal'!C10)</f>
        <v>25942692.006000001</v>
      </c>
      <c r="D11" s="14" t="s">
        <v>3</v>
      </c>
      <c r="E11" s="64">
        <f>(E5-E7)*(1+'Fane 15. Nøgletal'!C10)</f>
        <v>25983829.967421528</v>
      </c>
      <c r="F11" s="14" t="s">
        <v>3</v>
      </c>
      <c r="G11" s="64">
        <f>C11+E11</f>
        <v>51926521.973421529</v>
      </c>
      <c r="H11" s="14" t="s">
        <v>3</v>
      </c>
      <c r="I11" s="1"/>
    </row>
    <row r="12" spans="1:9" ht="15" customHeight="1" x14ac:dyDescent="0.25">
      <c r="A12" s="1"/>
      <c r="B12" s="28" t="s">
        <v>118</v>
      </c>
      <c r="C12" s="65">
        <v>-57227.578235559347</v>
      </c>
      <c r="D12" s="14" t="s">
        <v>3</v>
      </c>
      <c r="E12" s="88">
        <v>0</v>
      </c>
      <c r="F12" s="14" t="s">
        <v>3</v>
      </c>
      <c r="G12" s="64">
        <f>C12+E12</f>
        <v>-57227.578235559347</v>
      </c>
      <c r="H12" s="14" t="s">
        <v>3</v>
      </c>
      <c r="I12" s="1"/>
    </row>
    <row r="13" spans="1:9" ht="26.25" customHeight="1" x14ac:dyDescent="0.25">
      <c r="A13" s="1"/>
      <c r="B13" s="28" t="s">
        <v>115</v>
      </c>
      <c r="C13" s="65">
        <v>0</v>
      </c>
      <c r="D13" s="14" t="s">
        <v>3</v>
      </c>
      <c r="E13" s="103">
        <v>0</v>
      </c>
      <c r="F13" s="14" t="s">
        <v>3</v>
      </c>
      <c r="G13" s="64">
        <f>C13+E13</f>
        <v>0</v>
      </c>
      <c r="H13" s="14" t="s">
        <v>3</v>
      </c>
      <c r="I13" s="1"/>
    </row>
    <row r="14" spans="1:9" ht="26.25" customHeight="1" x14ac:dyDescent="0.25">
      <c r="A14" s="1"/>
      <c r="B14" s="28" t="s">
        <v>44</v>
      </c>
      <c r="C14" s="65">
        <v>0</v>
      </c>
      <c r="D14" s="14" t="s">
        <v>3</v>
      </c>
      <c r="E14" s="88">
        <v>0</v>
      </c>
      <c r="F14" s="14" t="s">
        <v>3</v>
      </c>
      <c r="G14" s="64">
        <f>C14+E14</f>
        <v>0</v>
      </c>
      <c r="H14" s="14" t="s">
        <v>3</v>
      </c>
      <c r="I14" s="1"/>
    </row>
    <row r="15" spans="1:9" ht="26.25" customHeight="1" x14ac:dyDescent="0.25">
      <c r="A15" s="1"/>
      <c r="B15" s="28" t="s">
        <v>45</v>
      </c>
      <c r="C15" s="64">
        <f>SUM(C11:C14)*'Fane 15. Nøgletal'!$C$31</f>
        <v>517709.28855528886</v>
      </c>
      <c r="D15" s="14" t="s">
        <v>3</v>
      </c>
      <c r="E15" s="64">
        <f>SUM(E11:E14)*'Fane 15. Nøgletal'!$C$31</f>
        <v>519676.59934843058</v>
      </c>
      <c r="F15" s="14" t="s">
        <v>3</v>
      </c>
      <c r="G15" s="64">
        <f>SUM(G11:G14)*'Fane 15. Nøgletal'!$C$31</f>
        <v>1037385.8879037194</v>
      </c>
      <c r="H15" s="14" t="s">
        <v>3</v>
      </c>
      <c r="I15" s="1"/>
    </row>
    <row r="16" spans="1:9" x14ac:dyDescent="0.25">
      <c r="A16" s="1"/>
      <c r="B16" s="20"/>
      <c r="C16" s="27"/>
      <c r="D16" s="27"/>
      <c r="E16" s="27"/>
      <c r="F16" s="27"/>
      <c r="G16" s="66"/>
      <c r="H16" s="19"/>
      <c r="I16" s="1"/>
    </row>
    <row r="17" spans="1:9" x14ac:dyDescent="0.25">
      <c r="A17" s="1"/>
      <c r="B17" s="91"/>
      <c r="C17" s="1"/>
      <c r="D17" s="1"/>
      <c r="E17" s="1"/>
      <c r="F17" s="1"/>
      <c r="G17" s="67"/>
      <c r="H17" s="1"/>
      <c r="I17" s="1"/>
    </row>
    <row r="18" spans="1:9" ht="39" x14ac:dyDescent="0.25">
      <c r="A18" s="1"/>
      <c r="B18" s="20" t="s">
        <v>54</v>
      </c>
      <c r="C18" s="155" t="s">
        <v>271</v>
      </c>
      <c r="D18" s="155"/>
      <c r="E18" s="155" t="s">
        <v>272</v>
      </c>
      <c r="F18" s="155"/>
      <c r="G18" s="155" t="s">
        <v>298</v>
      </c>
      <c r="H18" s="156"/>
      <c r="I18" s="1"/>
    </row>
    <row r="19" spans="1:9" ht="26.25" customHeight="1" x14ac:dyDescent="0.25">
      <c r="A19" s="1"/>
      <c r="B19" s="28" t="s">
        <v>46</v>
      </c>
      <c r="C19" s="64">
        <f>(SUM(C11:C12,C14)-(C15))*(1+'Fane 15. Nøgletal'!C10)</f>
        <v>25811690.854145315</v>
      </c>
      <c r="D19" s="14" t="s">
        <v>3</v>
      </c>
      <c r="E19" s="64">
        <f>(SUM(E11:E12,E14)-(E15))*(1+'Fane 15. Nøgletal'!C10)</f>
        <v>25909776.052014381</v>
      </c>
      <c r="F19" s="14" t="s">
        <v>3</v>
      </c>
      <c r="G19" s="64">
        <f>C19+E19</f>
        <v>51721466.906159699</v>
      </c>
      <c r="H19" s="14" t="s">
        <v>3</v>
      </c>
      <c r="I19" s="1"/>
    </row>
    <row r="20" spans="1:9" ht="26.25" customHeight="1" x14ac:dyDescent="0.25">
      <c r="A20" s="1"/>
      <c r="B20" s="28" t="s">
        <v>47</v>
      </c>
      <c r="C20" s="65">
        <v>0</v>
      </c>
      <c r="D20" s="14" t="s">
        <v>3</v>
      </c>
      <c r="E20" s="88">
        <v>0</v>
      </c>
      <c r="F20" s="14" t="s">
        <v>3</v>
      </c>
      <c r="G20" s="64">
        <f>C20+E20</f>
        <v>0</v>
      </c>
      <c r="H20" s="14" t="s">
        <v>3</v>
      </c>
      <c r="I20" s="1"/>
    </row>
    <row r="21" spans="1:9" ht="26.25" customHeight="1" x14ac:dyDescent="0.25">
      <c r="A21" s="1"/>
      <c r="B21" s="28" t="s">
        <v>48</v>
      </c>
      <c r="C21" s="64">
        <f>SUM(C19:C20)*'Fane 15. Nøgletal'!$C$31</f>
        <v>516233.81708290632</v>
      </c>
      <c r="D21" s="14" t="s">
        <v>3</v>
      </c>
      <c r="E21" s="64">
        <f>SUM(E19:E20)*'Fane 15. Nøgletal'!$C$31</f>
        <v>518195.52104028763</v>
      </c>
      <c r="F21" s="14" t="s">
        <v>3</v>
      </c>
      <c r="G21" s="64">
        <f>SUM(G19:G20)*'Fane 15. Nøgletal'!$C$31</f>
        <v>1034429.3381231941</v>
      </c>
      <c r="H21" s="14" t="s">
        <v>3</v>
      </c>
      <c r="I21" s="1"/>
    </row>
    <row r="22" spans="1:9" x14ac:dyDescent="0.25">
      <c r="A22" s="1"/>
      <c r="B22" s="20"/>
      <c r="C22" s="27"/>
      <c r="D22" s="27"/>
      <c r="E22" s="27"/>
      <c r="F22" s="27"/>
      <c r="G22" s="66"/>
      <c r="H22" s="19"/>
      <c r="I22" s="1"/>
    </row>
    <row r="23" spans="1:9" x14ac:dyDescent="0.25">
      <c r="A23" s="1"/>
      <c r="B23" s="91"/>
      <c r="C23" s="1"/>
      <c r="D23" s="1"/>
      <c r="E23" s="1"/>
      <c r="F23" s="1"/>
      <c r="G23" s="67"/>
      <c r="H23" s="1"/>
      <c r="I23" s="1"/>
    </row>
    <row r="24" spans="1:9" ht="39" x14ac:dyDescent="0.25">
      <c r="A24" s="1"/>
      <c r="B24" s="20" t="s">
        <v>55</v>
      </c>
      <c r="C24" s="155" t="s">
        <v>271</v>
      </c>
      <c r="D24" s="155"/>
      <c r="E24" s="155" t="s">
        <v>272</v>
      </c>
      <c r="F24" s="155"/>
      <c r="G24" s="155" t="s">
        <v>298</v>
      </c>
      <c r="H24" s="156"/>
      <c r="I24" s="1"/>
    </row>
    <row r="25" spans="1:9" ht="26.25" customHeight="1" x14ac:dyDescent="0.25">
      <c r="A25" s="1"/>
      <c r="B25" s="28" t="s">
        <v>49</v>
      </c>
      <c r="C25" s="64">
        <f>(C19+C20-C21)*(1+'Fane 15. Nøgletal'!C12)</f>
        <v>25793777.540692538</v>
      </c>
      <c r="D25" s="14" t="s">
        <v>3</v>
      </c>
      <c r="E25" s="64">
        <f>(E19+E20-E21)*(1+'Fane 15. Nøgletal'!C12)</f>
        <v>25891794.667434286</v>
      </c>
      <c r="F25" s="14" t="s">
        <v>3</v>
      </c>
      <c r="G25" s="64">
        <f>C25+E25</f>
        <v>51685572.208126828</v>
      </c>
      <c r="H25" s="14" t="s">
        <v>3</v>
      </c>
      <c r="I25" s="1"/>
    </row>
    <row r="26" spans="1:9" ht="26.25" customHeight="1" x14ac:dyDescent="0.25">
      <c r="A26" s="1"/>
      <c r="B26" s="28" t="s">
        <v>50</v>
      </c>
      <c r="C26" s="65">
        <v>0</v>
      </c>
      <c r="D26" s="14" t="s">
        <v>3</v>
      </c>
      <c r="E26" s="88">
        <v>0</v>
      </c>
      <c r="F26" s="14" t="s">
        <v>3</v>
      </c>
      <c r="G26" s="64">
        <f>C26+E26</f>
        <v>0</v>
      </c>
      <c r="H26" s="14" t="s">
        <v>3</v>
      </c>
      <c r="I26" s="1"/>
    </row>
    <row r="27" spans="1:9" ht="26.25" customHeight="1" x14ac:dyDescent="0.25">
      <c r="A27" s="1"/>
      <c r="B27" s="28" t="s">
        <v>51</v>
      </c>
      <c r="C27" s="64">
        <f>(C25+C26)*'Fane 15. Nøgletal'!$C$31</f>
        <v>515875.55081385077</v>
      </c>
      <c r="D27" s="14" t="s">
        <v>3</v>
      </c>
      <c r="E27" s="64">
        <f>(E25+E26)*'Fane 15. Nøgletal'!$C$31</f>
        <v>517835.89334868576</v>
      </c>
      <c r="F27" s="14" t="s">
        <v>3</v>
      </c>
      <c r="G27" s="64">
        <f>(G25+G26)*'Fane 15. Nøgletal'!$C$31</f>
        <v>1033711.4441625365</v>
      </c>
      <c r="H27" s="14" t="s">
        <v>3</v>
      </c>
      <c r="I27" s="1"/>
    </row>
    <row r="28" spans="1:9" x14ac:dyDescent="0.25">
      <c r="A28" s="1"/>
      <c r="B28" s="20"/>
      <c r="C28" s="27"/>
      <c r="D28" s="27"/>
      <c r="E28" s="27"/>
      <c r="F28" s="27"/>
      <c r="G28" s="66"/>
      <c r="H28" s="19"/>
      <c r="I28" s="1"/>
    </row>
    <row r="29" spans="1:9" x14ac:dyDescent="0.25">
      <c r="A29" s="1"/>
      <c r="B29" s="91"/>
      <c r="C29" s="1"/>
      <c r="D29" s="1"/>
      <c r="E29" s="1"/>
      <c r="F29" s="1"/>
      <c r="G29" s="67"/>
      <c r="H29" s="1"/>
      <c r="I29" s="1"/>
    </row>
    <row r="30" spans="1:9" x14ac:dyDescent="0.25">
      <c r="A30" s="1"/>
      <c r="B30" s="91"/>
      <c r="C30" s="1"/>
      <c r="D30" s="1"/>
      <c r="E30" s="1"/>
      <c r="F30" s="1"/>
      <c r="G30" s="67"/>
      <c r="H30" s="1"/>
      <c r="I30" s="1"/>
    </row>
    <row r="31" spans="1:9" x14ac:dyDescent="0.25">
      <c r="A31" s="1"/>
      <c r="B31" s="91"/>
      <c r="C31" s="1"/>
      <c r="D31" s="1"/>
      <c r="E31" s="1"/>
      <c r="F31" s="1"/>
      <c r="G31" s="67"/>
      <c r="H31" s="1"/>
      <c r="I31" s="1"/>
    </row>
    <row r="32" spans="1:9" x14ac:dyDescent="0.25">
      <c r="A32" s="1"/>
      <c r="B32" s="91"/>
      <c r="C32" s="1"/>
      <c r="D32" s="1"/>
      <c r="E32" s="1"/>
      <c r="F32" s="1"/>
      <c r="G32" s="67"/>
      <c r="H32" s="1"/>
      <c r="I32" s="1"/>
    </row>
    <row r="33" spans="1:9" x14ac:dyDescent="0.25">
      <c r="A33" s="1"/>
      <c r="B33" s="91"/>
      <c r="C33" s="1"/>
      <c r="D33" s="1"/>
      <c r="E33" s="1"/>
      <c r="F33" s="1"/>
      <c r="G33" s="67"/>
      <c r="H33" s="1"/>
      <c r="I33" s="1"/>
    </row>
    <row r="34" spans="1:9" x14ac:dyDescent="0.25">
      <c r="A34" s="1"/>
      <c r="B34" s="91"/>
      <c r="C34" s="1"/>
      <c r="D34" s="1"/>
      <c r="E34" s="1"/>
      <c r="F34" s="1"/>
      <c r="G34" s="67"/>
      <c r="H34" s="1"/>
      <c r="I34" s="1"/>
    </row>
    <row r="35" spans="1:9" ht="39" x14ac:dyDescent="0.25">
      <c r="A35" s="1"/>
      <c r="B35" s="20" t="s">
        <v>58</v>
      </c>
      <c r="C35" s="155" t="s">
        <v>271</v>
      </c>
      <c r="D35" s="155"/>
      <c r="E35" s="155" t="s">
        <v>272</v>
      </c>
      <c r="F35" s="155"/>
      <c r="G35" s="155" t="s">
        <v>298</v>
      </c>
      <c r="H35" s="156"/>
      <c r="I35" s="1"/>
    </row>
    <row r="36" spans="1:9" ht="26.25" customHeight="1" x14ac:dyDescent="0.25">
      <c r="A36" s="1"/>
      <c r="B36" s="28" t="s">
        <v>59</v>
      </c>
      <c r="C36" s="64">
        <f>(C25+C26-C27)*(1+'Fane 15. Nøgletal'!C12)</f>
        <v>25775876.659079298</v>
      </c>
      <c r="D36" s="14" t="s">
        <v>3</v>
      </c>
      <c r="E36" s="64">
        <f>(E25+E26-E27)*(1+'Fane 15. Nøgletal'!C12)</f>
        <v>25873825.761935089</v>
      </c>
      <c r="F36" s="14" t="s">
        <v>3</v>
      </c>
      <c r="G36" s="64">
        <f>C36+E36</f>
        <v>51649702.421014383</v>
      </c>
      <c r="H36" s="14" t="s">
        <v>3</v>
      </c>
      <c r="I36" s="1"/>
    </row>
    <row r="37" spans="1:9" ht="26.25" customHeight="1" x14ac:dyDescent="0.25">
      <c r="A37" s="1"/>
      <c r="B37" s="28" t="s">
        <v>133</v>
      </c>
      <c r="C37" s="64">
        <v>0</v>
      </c>
      <c r="D37" s="14" t="s">
        <v>3</v>
      </c>
      <c r="E37" s="88">
        <v>0</v>
      </c>
      <c r="F37" s="14" t="s">
        <v>3</v>
      </c>
      <c r="G37" s="64">
        <f>C37+E37</f>
        <v>0</v>
      </c>
      <c r="H37" s="14" t="s">
        <v>3</v>
      </c>
      <c r="I37" s="1"/>
    </row>
    <row r="38" spans="1:9" ht="26.25" customHeight="1" x14ac:dyDescent="0.25">
      <c r="A38" s="1"/>
      <c r="B38" s="28" t="s">
        <v>60</v>
      </c>
      <c r="C38" s="64">
        <f>(C36+C37)*'Fane 15. Nøgletal'!$C$31</f>
        <v>515517.53318158595</v>
      </c>
      <c r="D38" s="14" t="s">
        <v>3</v>
      </c>
      <c r="E38" s="64">
        <f>(E36+E37)*'Fane 15. Nøgletal'!$C$31</f>
        <v>517476.51523870177</v>
      </c>
      <c r="F38" s="14" t="s">
        <v>3</v>
      </c>
      <c r="G38" s="64">
        <f>(G36+G37)*'Fane 15. Nøgletal'!$C$31</f>
        <v>1032994.0484202877</v>
      </c>
      <c r="H38" s="14" t="s">
        <v>3</v>
      </c>
      <c r="I38" s="1"/>
    </row>
    <row r="39" spans="1:9" x14ac:dyDescent="0.25">
      <c r="A39" s="1"/>
      <c r="B39" s="20"/>
      <c r="C39" s="27"/>
      <c r="D39" s="27"/>
      <c r="E39" s="27"/>
      <c r="F39" s="27"/>
      <c r="G39" s="66"/>
      <c r="H39" s="19"/>
      <c r="I39" s="1"/>
    </row>
    <row r="40" spans="1:9" x14ac:dyDescent="0.25">
      <c r="A40" s="1"/>
      <c r="B40" s="91"/>
      <c r="C40" s="1"/>
      <c r="D40" s="1"/>
      <c r="E40" s="1"/>
      <c r="F40" s="1"/>
      <c r="G40" s="67"/>
      <c r="H40" s="1"/>
      <c r="I40" s="1"/>
    </row>
    <row r="41" spans="1:9" ht="39" x14ac:dyDescent="0.25">
      <c r="A41" s="1"/>
      <c r="B41" s="20" t="s">
        <v>154</v>
      </c>
      <c r="C41" s="155" t="s">
        <v>271</v>
      </c>
      <c r="D41" s="155"/>
      <c r="E41" s="155" t="s">
        <v>272</v>
      </c>
      <c r="F41" s="155"/>
      <c r="G41" s="155" t="s">
        <v>298</v>
      </c>
      <c r="H41" s="156"/>
      <c r="I41" s="1"/>
    </row>
    <row r="42" spans="1:9" ht="26.25" customHeight="1" x14ac:dyDescent="0.25">
      <c r="A42" s="1"/>
      <c r="B42" s="28" t="s">
        <v>79</v>
      </c>
      <c r="C42" s="64">
        <f>(C36+C37-C38)*(1+'Fane 15. Nøgletal'!C14)</f>
        <v>25343718.311013177</v>
      </c>
      <c r="D42" s="14" t="s">
        <v>3</v>
      </c>
      <c r="E42" s="64">
        <f>(E36+E37-E38)*(1+'Fane 15. Nøgletal'!C14)</f>
        <v>25440025.199210487</v>
      </c>
      <c r="F42" s="14" t="s">
        <v>3</v>
      </c>
      <c r="G42" s="64">
        <f>C42+E42</f>
        <v>50783743.510223664</v>
      </c>
      <c r="H42" s="14" t="s">
        <v>3</v>
      </c>
      <c r="I42" s="1"/>
    </row>
    <row r="43" spans="1:9" ht="26.25" customHeight="1" x14ac:dyDescent="0.25">
      <c r="A43" s="1"/>
      <c r="B43" s="28" t="s">
        <v>158</v>
      </c>
      <c r="C43" s="64">
        <v>0</v>
      </c>
      <c r="D43" s="14" t="s">
        <v>3</v>
      </c>
      <c r="E43" s="88">
        <v>0</v>
      </c>
      <c r="F43" s="14" t="s">
        <v>3</v>
      </c>
      <c r="G43" s="64">
        <f>C43+E43</f>
        <v>0</v>
      </c>
      <c r="H43" s="14" t="s">
        <v>3</v>
      </c>
      <c r="I43" s="1"/>
    </row>
    <row r="44" spans="1:9" ht="26.25" customHeight="1" x14ac:dyDescent="0.25">
      <c r="A44" s="1"/>
      <c r="B44" s="28" t="s">
        <v>156</v>
      </c>
      <c r="C44" s="64">
        <f>(C42+C43)*'Fane 15. Nøgletal'!$C$31</f>
        <v>506874.36622026353</v>
      </c>
      <c r="D44" s="14" t="s">
        <v>3</v>
      </c>
      <c r="E44" s="64">
        <f>(E42+E43)*'Fane 15. Nøgletal'!$C$31</f>
        <v>508800.50398420973</v>
      </c>
      <c r="F44" s="14" t="s">
        <v>3</v>
      </c>
      <c r="G44" s="64">
        <f>(G42+G43)*'Fane 15. Nøgletal'!$C$31</f>
        <v>1015674.8702044733</v>
      </c>
      <c r="H44" s="14" t="s">
        <v>3</v>
      </c>
      <c r="I44" s="1"/>
    </row>
    <row r="45" spans="1:9" x14ac:dyDescent="0.25">
      <c r="A45" s="1"/>
      <c r="B45" s="20"/>
      <c r="C45" s="27"/>
      <c r="D45" s="27"/>
      <c r="E45" s="27"/>
      <c r="F45" s="27"/>
      <c r="G45" s="66"/>
      <c r="H45" s="19"/>
      <c r="I45" s="1"/>
    </row>
    <row r="46" spans="1:9" x14ac:dyDescent="0.25">
      <c r="A46" s="1"/>
      <c r="B46" s="91"/>
      <c r="C46" s="1"/>
      <c r="D46" s="1"/>
      <c r="E46" s="1"/>
      <c r="F46" s="1"/>
      <c r="G46" s="67"/>
      <c r="H46" s="1"/>
      <c r="I46" s="1"/>
    </row>
    <row r="47" spans="1:9" ht="39" x14ac:dyDescent="0.25">
      <c r="A47" s="1"/>
      <c r="B47" s="20" t="s">
        <v>155</v>
      </c>
      <c r="C47" s="155" t="s">
        <v>271</v>
      </c>
      <c r="D47" s="155"/>
      <c r="E47" s="155" t="s">
        <v>272</v>
      </c>
      <c r="F47" s="155"/>
      <c r="G47" s="155" t="s">
        <v>298</v>
      </c>
      <c r="H47" s="156"/>
      <c r="I47" s="1"/>
    </row>
    <row r="48" spans="1:9" ht="26.25" customHeight="1" x14ac:dyDescent="0.25">
      <c r="A48" s="1"/>
      <c r="B48" s="28" t="s">
        <v>216</v>
      </c>
      <c r="C48" s="64">
        <f>(C42+C43-C44)*(1+'Fane 15. Nøgletal'!C14)</f>
        <v>24918805.529810734</v>
      </c>
      <c r="D48" s="14" t="s">
        <v>3</v>
      </c>
      <c r="E48" s="64">
        <f>(E42+E43-E44)*(1+'Fane 15. Nøgletal'!C14)</f>
        <v>25013497.736720528</v>
      </c>
      <c r="F48" s="14" t="s">
        <v>3</v>
      </c>
      <c r="G48" s="64">
        <f>C48+E48</f>
        <v>49932303.266531259</v>
      </c>
      <c r="H48" s="14" t="s">
        <v>3</v>
      </c>
      <c r="I48" s="1"/>
    </row>
    <row r="49" spans="1:9" ht="26.25" customHeight="1" x14ac:dyDescent="0.25">
      <c r="A49" s="1"/>
      <c r="B49" s="25" t="s">
        <v>218</v>
      </c>
      <c r="C49" s="68">
        <f>('Fane 2.1. Økonomisk ramme 2023'!C10+'Fane 2.1. Økonomisk ramme 2023'!C12+'Fane 2.1. Økonomisk ramme 2023'!C14)*(1+'Fane 15. Nøgletal'!$C$15)</f>
        <v>0</v>
      </c>
      <c r="D49" s="14" t="s">
        <v>3</v>
      </c>
      <c r="E49" s="68">
        <f>('Fane 2.1. Økonomisk ramme 2023'!E10+'Fane 2.1. Økonomisk ramme 2023'!E12+'Fane 2.1. Økonomisk ramme 2023'!E14)*(1+'Fane 15. Nøgletal'!$C$15)</f>
        <v>2760334.7231131205</v>
      </c>
      <c r="F49" s="14" t="s">
        <v>3</v>
      </c>
      <c r="G49" s="64">
        <f>C49+E49</f>
        <v>2760334.7231131205</v>
      </c>
      <c r="H49" s="14" t="s">
        <v>3</v>
      </c>
      <c r="I49" s="1"/>
    </row>
    <row r="50" spans="1:9" ht="26.25" customHeight="1" x14ac:dyDescent="0.25">
      <c r="A50" s="1"/>
      <c r="B50" s="28" t="s">
        <v>157</v>
      </c>
      <c r="C50" s="64">
        <f>SUM(C48:C49)*'Fane 15. Nøgletal'!$C$31</f>
        <v>498376.11059621471</v>
      </c>
      <c r="D50" s="14" t="s">
        <v>3</v>
      </c>
      <c r="E50" s="64">
        <f>SUM(E48:E49)*'Fane 15. Nøgletal'!$C$31</f>
        <v>555476.64919667295</v>
      </c>
      <c r="F50" s="14" t="s">
        <v>3</v>
      </c>
      <c r="G50" s="64">
        <f>SUM(G48:G49)*'Fane 15. Nøgletal'!$C$31</f>
        <v>1053852.7597928876</v>
      </c>
      <c r="H50" s="14" t="s">
        <v>3</v>
      </c>
      <c r="I50" s="1"/>
    </row>
    <row r="51" spans="1:9" x14ac:dyDescent="0.25">
      <c r="A51" s="1"/>
      <c r="B51" s="20"/>
      <c r="C51" s="27"/>
      <c r="D51" s="27"/>
      <c r="E51" s="27"/>
      <c r="F51" s="27"/>
      <c r="G51" s="66"/>
      <c r="H51" s="19"/>
      <c r="I51" s="1"/>
    </row>
    <row r="52" spans="1:9" x14ac:dyDescent="0.25">
      <c r="A52" s="1"/>
      <c r="B52" s="91"/>
      <c r="C52" s="1"/>
      <c r="D52" s="1"/>
      <c r="E52" s="1"/>
      <c r="F52" s="1"/>
      <c r="G52" s="67"/>
      <c r="H52" s="1"/>
      <c r="I52" s="1"/>
    </row>
    <row r="53" spans="1:9" ht="39" x14ac:dyDescent="0.25">
      <c r="A53" s="1"/>
      <c r="B53" s="20" t="s">
        <v>227</v>
      </c>
      <c r="C53" s="155" t="s">
        <v>271</v>
      </c>
      <c r="D53" s="155"/>
      <c r="E53" s="155" t="s">
        <v>272</v>
      </c>
      <c r="F53" s="155"/>
      <c r="G53" s="155" t="s">
        <v>298</v>
      </c>
      <c r="H53" s="156"/>
      <c r="I53" s="1"/>
    </row>
    <row r="54" spans="1:9" ht="26.25" customHeight="1" x14ac:dyDescent="0.25">
      <c r="A54" s="1"/>
      <c r="B54" s="28" t="s">
        <v>215</v>
      </c>
      <c r="C54" s="64">
        <f>(C48+C49-C50)*(1+'Fane 15. Nøgletal'!C15)</f>
        <v>25289796.706538558</v>
      </c>
      <c r="D54" s="14" t="s">
        <v>3</v>
      </c>
      <c r="E54" s="64">
        <f>(E48+E49-E50)*(1+'Fane 15. Nøgletal'!C15)</f>
        <v>28187329.277495652</v>
      </c>
      <c r="F54" s="14" t="s">
        <v>3</v>
      </c>
      <c r="G54" s="64">
        <f>C54+E54</f>
        <v>53477125.98403421</v>
      </c>
      <c r="H54" s="14" t="s">
        <v>3</v>
      </c>
      <c r="I54" s="1"/>
    </row>
    <row r="55" spans="1:9" ht="26.25" customHeight="1" x14ac:dyDescent="0.25">
      <c r="A55" s="1"/>
      <c r="B55" s="28" t="s">
        <v>134</v>
      </c>
      <c r="C55" s="64">
        <f>(C54)*'Fane 15. Nøgletal'!$C$31</f>
        <v>505795.93413077114</v>
      </c>
      <c r="D55" s="14" t="s">
        <v>3</v>
      </c>
      <c r="E55" s="64">
        <f>(E54)*'Fane 15. Nøgletal'!$C$31</f>
        <v>563746.58554991311</v>
      </c>
      <c r="F55" s="14" t="s">
        <v>3</v>
      </c>
      <c r="G55" s="64">
        <f>(G54)*'Fane 15. Nøgletal'!$C$31</f>
        <v>1069542.5196806842</v>
      </c>
      <c r="H55" s="14" t="s">
        <v>3</v>
      </c>
      <c r="I55" s="1"/>
    </row>
    <row r="56" spans="1:9" x14ac:dyDescent="0.25">
      <c r="A56" s="1"/>
      <c r="B56" s="20"/>
      <c r="C56" s="27"/>
      <c r="D56" s="27"/>
      <c r="E56" s="27"/>
      <c r="F56" s="27"/>
      <c r="G56" s="66"/>
      <c r="H56" s="19"/>
      <c r="I56" s="1"/>
    </row>
    <row r="57" spans="1:9" x14ac:dyDescent="0.25">
      <c r="A57" s="1"/>
      <c r="B57" s="91"/>
      <c r="C57" s="1"/>
      <c r="D57" s="1"/>
      <c r="E57" s="1"/>
      <c r="F57" s="1"/>
      <c r="G57" s="67"/>
      <c r="H57" s="1"/>
      <c r="I57" s="1"/>
    </row>
    <row r="58" spans="1:9" ht="39" x14ac:dyDescent="0.25">
      <c r="A58" s="1"/>
      <c r="B58" s="20" t="s">
        <v>145</v>
      </c>
      <c r="C58" s="155" t="s">
        <v>271</v>
      </c>
      <c r="D58" s="155"/>
      <c r="E58" s="155" t="s">
        <v>272</v>
      </c>
      <c r="F58" s="155"/>
      <c r="G58" s="155" t="s">
        <v>298</v>
      </c>
      <c r="H58" s="156"/>
      <c r="I58" s="1"/>
    </row>
    <row r="59" spans="1:9" ht="26.25" customHeight="1" x14ac:dyDescent="0.25">
      <c r="A59" s="1"/>
      <c r="B59" s="104" t="s">
        <v>146</v>
      </c>
      <c r="C59" s="64">
        <f>(C54-C55)*(1+'Fane 15. Nøgletal'!C15)</f>
        <v>25666311.199905504</v>
      </c>
      <c r="D59" s="14" t="s">
        <v>3</v>
      </c>
      <c r="E59" s="64">
        <f>(E54-E55)*(1+'Fane 15. Nøgletal'!C15)</f>
        <v>28606982.23577901</v>
      </c>
      <c r="F59" s="14" t="s">
        <v>3</v>
      </c>
      <c r="G59" s="64">
        <f>C59+E59</f>
        <v>54273293.435684517</v>
      </c>
      <c r="H59" s="14" t="s">
        <v>3</v>
      </c>
      <c r="I59" s="1"/>
    </row>
    <row r="60" spans="1:9" ht="26.25" customHeight="1" x14ac:dyDescent="0.25">
      <c r="A60" s="1"/>
      <c r="B60" s="104" t="s">
        <v>147</v>
      </c>
      <c r="C60" s="64">
        <f>(C59)*'Fane 15. Nøgletal'!$C$31</f>
        <v>513326.2239981101</v>
      </c>
      <c r="D60" s="14" t="s">
        <v>3</v>
      </c>
      <c r="E60" s="64">
        <f>(E59)*'Fane 15. Nøgletal'!$C$31</f>
        <v>572139.64471558016</v>
      </c>
      <c r="F60" s="14" t="s">
        <v>3</v>
      </c>
      <c r="G60" s="64">
        <f>(G59)*'Fane 15. Nøgletal'!$C$31</f>
        <v>1085465.8687136904</v>
      </c>
      <c r="H60" s="14" t="s">
        <v>3</v>
      </c>
      <c r="I60" s="1"/>
    </row>
    <row r="61" spans="1:9" x14ac:dyDescent="0.25">
      <c r="A61" s="1"/>
      <c r="B61" s="20"/>
      <c r="C61" s="27"/>
      <c r="D61" s="27"/>
      <c r="E61" s="27"/>
      <c r="F61" s="27"/>
      <c r="G61" s="66"/>
      <c r="H61" s="19"/>
      <c r="I61" s="1"/>
    </row>
    <row r="62" spans="1:9" x14ac:dyDescent="0.25">
      <c r="A62" s="1"/>
      <c r="B62" s="91"/>
      <c r="C62" s="1"/>
      <c r="D62" s="1"/>
      <c r="E62" s="1"/>
      <c r="F62" s="1"/>
      <c r="G62" s="67"/>
      <c r="H62" s="1"/>
      <c r="I62" s="1"/>
    </row>
    <row r="63" spans="1:9" x14ac:dyDescent="0.25">
      <c r="A63" s="1"/>
      <c r="B63" s="91"/>
      <c r="C63" s="1"/>
      <c r="D63" s="1"/>
      <c r="E63" s="1"/>
      <c r="F63" s="1"/>
      <c r="G63" s="67"/>
      <c r="H63" s="1"/>
      <c r="I63" s="1"/>
    </row>
    <row r="64" spans="1:9" x14ac:dyDescent="0.25">
      <c r="A64" s="1"/>
      <c r="B64" s="91"/>
      <c r="C64" s="1"/>
      <c r="D64" s="1"/>
      <c r="E64" s="1"/>
      <c r="F64" s="1"/>
      <c r="G64" s="67"/>
      <c r="H64" s="1"/>
      <c r="I64" s="1"/>
    </row>
    <row r="65" spans="1:9" x14ac:dyDescent="0.25">
      <c r="A65" s="1"/>
      <c r="B65" s="91"/>
      <c r="C65" s="1"/>
      <c r="D65" s="1"/>
      <c r="E65" s="1"/>
      <c r="F65" s="1"/>
      <c r="G65" s="67"/>
      <c r="H65" s="1"/>
      <c r="I65" s="1"/>
    </row>
    <row r="66" spans="1:9" x14ac:dyDescent="0.25">
      <c r="A66" s="1"/>
      <c r="B66" s="91"/>
      <c r="C66" s="1"/>
      <c r="D66" s="1"/>
      <c r="E66" s="1"/>
      <c r="F66" s="1"/>
      <c r="G66" s="67"/>
      <c r="H66" s="1"/>
      <c r="I66" s="1"/>
    </row>
    <row r="67" spans="1:9" ht="39" x14ac:dyDescent="0.25">
      <c r="A67" s="1"/>
      <c r="B67" s="20" t="s">
        <v>184</v>
      </c>
      <c r="C67" s="155" t="s">
        <v>271</v>
      </c>
      <c r="D67" s="155"/>
      <c r="E67" s="155" t="s">
        <v>272</v>
      </c>
      <c r="F67" s="155"/>
      <c r="G67" s="155" t="s">
        <v>273</v>
      </c>
      <c r="H67" s="156"/>
      <c r="I67" s="1"/>
    </row>
    <row r="68" spans="1:9" ht="26.25" customHeight="1" x14ac:dyDescent="0.25">
      <c r="A68" s="1"/>
      <c r="B68" s="104" t="s">
        <v>185</v>
      </c>
      <c r="C68" s="64">
        <f>(C59-C60)*(1+'Fane 15. Nøgletal'!C15)</f>
        <v>26048431.241049699</v>
      </c>
      <c r="D68" s="14" t="s">
        <v>3</v>
      </c>
      <c r="E68" s="64">
        <f>(E59-E60)*(1+'Fane 15. Nøgletal'!C15)</f>
        <v>29032882.987305287</v>
      </c>
      <c r="F68" s="14" t="s">
        <v>3</v>
      </c>
      <c r="G68" s="64">
        <f>C68+E68</f>
        <v>55081314.22835499</v>
      </c>
      <c r="H68" s="14" t="s">
        <v>3</v>
      </c>
      <c r="I68" s="1"/>
    </row>
    <row r="69" spans="1:9" ht="26.25" customHeight="1" x14ac:dyDescent="0.25">
      <c r="A69" s="1"/>
      <c r="B69" s="104" t="s">
        <v>186</v>
      </c>
      <c r="C69" s="64">
        <f>(C68)*'Fane 15. Nøgletal'!$C$31</f>
        <v>520968.62482099398</v>
      </c>
      <c r="D69" s="14" t="s">
        <v>3</v>
      </c>
      <c r="E69" s="64">
        <f>(E68)*'Fane 15. Nøgletal'!$C$31</f>
        <v>580657.65974610578</v>
      </c>
      <c r="F69" s="14" t="s">
        <v>3</v>
      </c>
      <c r="G69" s="64">
        <f>(G68)*'Fane 15. Nøgletal'!$C$31</f>
        <v>1101626.2845670998</v>
      </c>
      <c r="H69" s="14" t="s">
        <v>3</v>
      </c>
      <c r="I69" s="1"/>
    </row>
    <row r="70" spans="1:9" x14ac:dyDescent="0.25">
      <c r="A70" s="1"/>
      <c r="B70" s="32"/>
      <c r="C70" s="27"/>
      <c r="D70" s="27"/>
      <c r="E70" s="27"/>
      <c r="F70" s="27"/>
      <c r="G70" s="27"/>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46"/>
    </row>
  </sheetData>
  <sheetProtection algorithmName="SHA-512" hashValue="X1hAEt99GQJA+JYLRCUEk0etoMh2hG99ERLBR4vUtbki8kuQtskhmR5118XuKxwK1a5x2lWETV7i0CtRQY7PsA==" saltValue="+ndA9bOpt5+zwshElBgefQ==" spinCount="100000" sheet="1" objects="1" scenarios="1"/>
  <mergeCells count="31">
    <mergeCell ref="B2:H3"/>
    <mergeCell ref="C4:D4"/>
    <mergeCell ref="E4:F4"/>
    <mergeCell ref="G4:H4"/>
    <mergeCell ref="C10:D10"/>
    <mergeCell ref="E10:F10"/>
    <mergeCell ref="G10:H10"/>
    <mergeCell ref="C18:D18"/>
    <mergeCell ref="E18:F18"/>
    <mergeCell ref="G18:H18"/>
    <mergeCell ref="C24:D24"/>
    <mergeCell ref="E24:F24"/>
    <mergeCell ref="G24:H24"/>
    <mergeCell ref="C35:D35"/>
    <mergeCell ref="E35:F35"/>
    <mergeCell ref="G35:H35"/>
    <mergeCell ref="C41:D41"/>
    <mergeCell ref="E41:F41"/>
    <mergeCell ref="G41:H41"/>
    <mergeCell ref="C67:D67"/>
    <mergeCell ref="E67:F67"/>
    <mergeCell ref="G67:H67"/>
    <mergeCell ref="C47:D47"/>
    <mergeCell ref="E47:F47"/>
    <mergeCell ref="G47:H47"/>
    <mergeCell ref="C53:D53"/>
    <mergeCell ref="E53:F53"/>
    <mergeCell ref="G53:H53"/>
    <mergeCell ref="C58:D58"/>
    <mergeCell ref="E58:F58"/>
    <mergeCell ref="G58:H58"/>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65"/>
  <sheetViews>
    <sheetView showGridLines="0" view="pageLayout" zoomScaleNormal="100" workbookViewId="0"/>
  </sheetViews>
  <sheetFormatPr defaultColWidth="9.140625" defaultRowHeight="15" x14ac:dyDescent="0.25"/>
  <cols>
    <col min="1" max="1" width="1.42578125" style="2" customWidth="1"/>
    <col min="2" max="2" width="38.5703125" style="2" customWidth="1"/>
    <col min="3" max="3" width="12.140625" style="2" customWidth="1"/>
    <col min="4" max="4" width="3.140625" style="2" customWidth="1"/>
    <col min="5" max="5" width="12.140625" style="2" customWidth="1"/>
    <col min="6" max="6" width="3.140625" style="2" customWidth="1"/>
    <col min="7" max="7" width="12.140625" style="2" customWidth="1"/>
    <col min="8" max="8" width="3.140625" style="2" customWidth="1"/>
    <col min="9" max="9" width="1.42578125" style="2" customWidth="1"/>
    <col min="10" max="16384" width="9.140625" style="2"/>
  </cols>
  <sheetData>
    <row r="1" spans="1:9" ht="14.25" customHeight="1" x14ac:dyDescent="0.25">
      <c r="A1" s="1"/>
      <c r="B1" s="163" t="s">
        <v>107</v>
      </c>
      <c r="C1" s="163"/>
      <c r="D1" s="163"/>
      <c r="E1" s="163"/>
      <c r="F1" s="163"/>
      <c r="G1" s="163"/>
      <c r="H1" s="163"/>
      <c r="I1" s="1"/>
    </row>
    <row r="2" spans="1:9" ht="15" customHeight="1" x14ac:dyDescent="0.25">
      <c r="A2" s="1"/>
      <c r="B2" s="163"/>
      <c r="C2" s="163"/>
      <c r="D2" s="163"/>
      <c r="E2" s="163"/>
      <c r="F2" s="163"/>
      <c r="G2" s="163"/>
      <c r="H2" s="163"/>
      <c r="I2" s="1"/>
    </row>
    <row r="3" spans="1:9" ht="15" customHeight="1" x14ac:dyDescent="0.25">
      <c r="A3" s="1"/>
      <c r="B3" s="163"/>
      <c r="C3" s="163"/>
      <c r="D3" s="163"/>
      <c r="E3" s="163"/>
      <c r="F3" s="163"/>
      <c r="G3" s="163"/>
      <c r="H3" s="163"/>
      <c r="I3" s="1"/>
    </row>
    <row r="4" spans="1:9" ht="15" customHeight="1" x14ac:dyDescent="0.35">
      <c r="A4" s="1"/>
      <c r="B4" s="128"/>
      <c r="C4" s="128"/>
      <c r="D4" s="128"/>
      <c r="E4" s="128"/>
      <c r="F4" s="128"/>
      <c r="G4" s="128"/>
      <c r="H4" s="128"/>
      <c r="I4" s="1"/>
    </row>
    <row r="5" spans="1:9" ht="39" x14ac:dyDescent="0.25">
      <c r="A5" s="1"/>
      <c r="B5" s="20" t="s">
        <v>56</v>
      </c>
      <c r="C5" s="155" t="s">
        <v>271</v>
      </c>
      <c r="D5" s="155"/>
      <c r="E5" s="155" t="s">
        <v>272</v>
      </c>
      <c r="F5" s="155"/>
      <c r="G5" s="155" t="s">
        <v>298</v>
      </c>
      <c r="H5" s="156"/>
      <c r="I5" s="1"/>
    </row>
    <row r="6" spans="1:9" ht="26.25" x14ac:dyDescent="0.25">
      <c r="A6" s="1"/>
      <c r="B6" s="28" t="s">
        <v>61</v>
      </c>
      <c r="C6" s="64">
        <v>54487051</v>
      </c>
      <c r="D6" s="14" t="s">
        <v>3</v>
      </c>
      <c r="E6" s="64">
        <v>57604782.555860884</v>
      </c>
      <c r="F6" s="14" t="s">
        <v>3</v>
      </c>
      <c r="G6" s="64">
        <f>C6+E6</f>
        <v>112091833.55586088</v>
      </c>
      <c r="H6" s="14" t="s">
        <v>3</v>
      </c>
      <c r="I6" s="1"/>
    </row>
    <row r="7" spans="1:9" ht="26.25" x14ac:dyDescent="0.25">
      <c r="A7" s="1"/>
      <c r="B7" s="28" t="s">
        <v>57</v>
      </c>
      <c r="C7" s="64">
        <f>C6*'Fane 15. Nøgletal'!C20</f>
        <v>495832.16410000005</v>
      </c>
      <c r="D7" s="14" t="s">
        <v>3</v>
      </c>
      <c r="E7" s="64">
        <f>E6*'Fane 15. Nøgletal'!C20</f>
        <v>524203.52125833405</v>
      </c>
      <c r="F7" s="14" t="s">
        <v>3</v>
      </c>
      <c r="G7" s="64">
        <f>G6*'Fane 15. Nøgletal'!C20</f>
        <v>1020035.685358334</v>
      </c>
      <c r="H7" s="14" t="s">
        <v>3</v>
      </c>
      <c r="I7" s="1"/>
    </row>
    <row r="8" spans="1:9" x14ac:dyDescent="0.25">
      <c r="A8" s="1"/>
      <c r="B8" s="32"/>
      <c r="C8" s="27"/>
      <c r="D8" s="27"/>
      <c r="E8" s="27"/>
      <c r="F8" s="27"/>
      <c r="G8" s="66"/>
      <c r="H8" s="19"/>
      <c r="I8" s="1"/>
    </row>
    <row r="9" spans="1:9" x14ac:dyDescent="0.25">
      <c r="A9" s="1"/>
      <c r="B9" s="1"/>
      <c r="C9" s="1"/>
      <c r="D9" s="1"/>
      <c r="E9" s="1"/>
      <c r="F9" s="1"/>
      <c r="G9" s="67"/>
      <c r="H9" s="1"/>
      <c r="I9" s="1"/>
    </row>
    <row r="10" spans="1:9" ht="39" x14ac:dyDescent="0.25">
      <c r="A10" s="1"/>
      <c r="B10" s="20" t="s">
        <v>62</v>
      </c>
      <c r="C10" s="155" t="s">
        <v>271</v>
      </c>
      <c r="D10" s="155"/>
      <c r="E10" s="155" t="s">
        <v>272</v>
      </c>
      <c r="F10" s="155"/>
      <c r="G10" s="155" t="s">
        <v>298</v>
      </c>
      <c r="H10" s="156"/>
      <c r="I10" s="1"/>
    </row>
    <row r="11" spans="1:9" ht="26.25" x14ac:dyDescent="0.25">
      <c r="A11" s="1"/>
      <c r="B11" s="28" t="s">
        <v>63</v>
      </c>
      <c r="C11" s="64">
        <f>(C6-C7)*(1+'Fane 15. Nøgletal'!C10)</f>
        <v>54936065.165528253</v>
      </c>
      <c r="D11" s="14" t="s">
        <v>3</v>
      </c>
      <c r="E11" s="64">
        <f>(E6-E7)*(1+'Fane 15. Nøgletal'!C10)</f>
        <v>58079489.167708099</v>
      </c>
      <c r="F11" s="14" t="s">
        <v>3</v>
      </c>
      <c r="G11" s="64">
        <f>C11+E11</f>
        <v>113015554.33323635</v>
      </c>
      <c r="H11" s="14" t="s">
        <v>3</v>
      </c>
      <c r="I11" s="1"/>
    </row>
    <row r="12" spans="1:9" x14ac:dyDescent="0.25">
      <c r="A12" s="1"/>
      <c r="B12" s="28" t="s">
        <v>119</v>
      </c>
      <c r="C12" s="64">
        <v>219629.92472418767</v>
      </c>
      <c r="D12" s="14" t="s">
        <v>3</v>
      </c>
      <c r="E12" s="64">
        <v>103076.26602944829</v>
      </c>
      <c r="F12" s="14" t="s">
        <v>3</v>
      </c>
      <c r="G12" s="64">
        <f>C12+E12</f>
        <v>322706.19075363595</v>
      </c>
      <c r="H12" s="14" t="s">
        <v>3</v>
      </c>
      <c r="I12" s="1"/>
    </row>
    <row r="13" spans="1:9" ht="26.25" x14ac:dyDescent="0.25">
      <c r="A13" s="1"/>
      <c r="B13" s="28" t="s">
        <v>64</v>
      </c>
      <c r="C13" s="64">
        <v>0</v>
      </c>
      <c r="D13" s="14" t="s">
        <v>3</v>
      </c>
      <c r="E13" s="64">
        <v>0</v>
      </c>
      <c r="F13" s="14" t="s">
        <v>3</v>
      </c>
      <c r="G13" s="64">
        <f>C13+E13</f>
        <v>0</v>
      </c>
      <c r="H13" s="14" t="s">
        <v>3</v>
      </c>
      <c r="I13" s="1"/>
    </row>
    <row r="14" spans="1:9" ht="26.25" x14ac:dyDescent="0.25">
      <c r="A14" s="1"/>
      <c r="B14" s="28" t="s">
        <v>65</v>
      </c>
      <c r="C14" s="64">
        <f>SUM(C11:C13)*'Fane 15. Nøgletal'!C21</f>
        <v>976255.8030974681</v>
      </c>
      <c r="D14" s="14" t="s">
        <v>3</v>
      </c>
      <c r="E14" s="64">
        <f>SUM(E11:E13)*'Fane 15. Nøgletal'!C21</f>
        <v>1029831.4081771546</v>
      </c>
      <c r="F14" s="14" t="s">
        <v>3</v>
      </c>
      <c r="G14" s="64">
        <f>SUM(G11:G13)*'Fane 15. Nøgletal'!C21</f>
        <v>2006087.2112746229</v>
      </c>
      <c r="H14" s="14" t="s">
        <v>3</v>
      </c>
      <c r="I14" s="1"/>
    </row>
    <row r="15" spans="1:9" x14ac:dyDescent="0.25">
      <c r="A15" s="1"/>
      <c r="B15" s="32"/>
      <c r="C15" s="27"/>
      <c r="D15" s="27"/>
      <c r="E15" s="27"/>
      <c r="F15" s="27"/>
      <c r="G15" s="66"/>
      <c r="H15" s="19"/>
      <c r="I15" s="1"/>
    </row>
    <row r="16" spans="1:9" x14ac:dyDescent="0.25">
      <c r="A16" s="1"/>
      <c r="B16" s="1"/>
      <c r="C16" s="1"/>
      <c r="D16" s="1"/>
      <c r="E16" s="1"/>
      <c r="F16" s="1"/>
      <c r="G16" s="67"/>
      <c r="H16" s="1"/>
      <c r="I16" s="1"/>
    </row>
    <row r="17" spans="1:9" ht="39" x14ac:dyDescent="0.25">
      <c r="A17" s="1"/>
      <c r="B17" s="20" t="s">
        <v>66</v>
      </c>
      <c r="C17" s="155" t="s">
        <v>271</v>
      </c>
      <c r="D17" s="155"/>
      <c r="E17" s="155" t="s">
        <v>272</v>
      </c>
      <c r="F17" s="155"/>
      <c r="G17" s="155" t="s">
        <v>298</v>
      </c>
      <c r="H17" s="156"/>
      <c r="I17" s="1"/>
    </row>
    <row r="18" spans="1:9" ht="26.25" x14ac:dyDescent="0.25">
      <c r="A18" s="1"/>
      <c r="B18" s="28" t="s">
        <v>67</v>
      </c>
      <c r="C18" s="64">
        <f>(SUM(C11:C13)-C14)*(1+'Fane 15. Nøgletal'!$C$10)</f>
        <v>55127579.474680178</v>
      </c>
      <c r="D18" s="14" t="s">
        <v>3</v>
      </c>
      <c r="E18" s="64">
        <f>(SUM(E11:E13)-E14)*(1+'Fane 15. Nøgletal'!$C$10)</f>
        <v>58152906.871007703</v>
      </c>
      <c r="F18" s="14" t="s">
        <v>3</v>
      </c>
      <c r="G18" s="64">
        <f>C18+E18</f>
        <v>113280486.34568788</v>
      </c>
      <c r="H18" s="14" t="s">
        <v>3</v>
      </c>
      <c r="I18" s="1"/>
    </row>
    <row r="19" spans="1:9" ht="26.25" x14ac:dyDescent="0.25">
      <c r="A19" s="1"/>
      <c r="B19" s="28" t="s">
        <v>68</v>
      </c>
      <c r="C19" s="64">
        <v>0</v>
      </c>
      <c r="D19" s="14" t="s">
        <v>3</v>
      </c>
      <c r="E19" s="64">
        <v>0</v>
      </c>
      <c r="F19" s="14" t="s">
        <v>3</v>
      </c>
      <c r="G19" s="64">
        <f>C19+E19</f>
        <v>0</v>
      </c>
      <c r="H19" s="14" t="s">
        <v>3</v>
      </c>
      <c r="I19" s="1"/>
    </row>
    <row r="20" spans="1:9" ht="26.25" x14ac:dyDescent="0.25">
      <c r="A20" s="1"/>
      <c r="B20" s="28" t="s">
        <v>69</v>
      </c>
      <c r="C20" s="64">
        <f>C18*'Fane 15. Nøgletal'!$C$21+C19*'Fane 15. Nøgletal'!$C$22</f>
        <v>975758.15670183918</v>
      </c>
      <c r="D20" s="14" t="s">
        <v>3</v>
      </c>
      <c r="E20" s="64">
        <f>E18*'Fane 15. Nøgletal'!$C$21+E19*'Fane 15. Nøgletal'!$C$22</f>
        <v>1029306.4516168364</v>
      </c>
      <c r="F20" s="14" t="s">
        <v>3</v>
      </c>
      <c r="G20" s="64">
        <f>G18*'Fane 15. Nøgletal'!C21+G19*'Fane 15. Nøgletal'!C22</f>
        <v>2005064.6083186755</v>
      </c>
      <c r="H20" s="14" t="s">
        <v>3</v>
      </c>
      <c r="I20" s="1"/>
    </row>
    <row r="21" spans="1:9" x14ac:dyDescent="0.25">
      <c r="A21" s="1"/>
      <c r="B21" s="32"/>
      <c r="C21" s="27"/>
      <c r="D21" s="27"/>
      <c r="E21" s="27"/>
      <c r="F21" s="27"/>
      <c r="G21" s="66"/>
      <c r="H21" s="19"/>
      <c r="I21" s="1"/>
    </row>
    <row r="22" spans="1:9" x14ac:dyDescent="0.25">
      <c r="A22" s="1"/>
      <c r="B22" s="1"/>
      <c r="C22" s="1"/>
      <c r="D22" s="1"/>
      <c r="E22" s="1"/>
      <c r="F22" s="1"/>
      <c r="G22" s="67"/>
      <c r="H22" s="1"/>
      <c r="I22" s="1"/>
    </row>
    <row r="23" spans="1:9" ht="39" x14ac:dyDescent="0.25">
      <c r="A23" s="1"/>
      <c r="B23" s="20" t="s">
        <v>70</v>
      </c>
      <c r="C23" s="155" t="s">
        <v>271</v>
      </c>
      <c r="D23" s="155"/>
      <c r="E23" s="155" t="s">
        <v>272</v>
      </c>
      <c r="F23" s="155"/>
      <c r="G23" s="155" t="s">
        <v>298</v>
      </c>
      <c r="H23" s="156"/>
      <c r="I23" s="1"/>
    </row>
    <row r="24" spans="1:9" ht="26.25" x14ac:dyDescent="0.25">
      <c r="A24" s="1"/>
      <c r="B24" s="28" t="s">
        <v>71</v>
      </c>
      <c r="C24" s="64">
        <f>(SUM(C18:C19)-C20)*(1+'Fane 15. Nøgletal'!$C$12)</f>
        <v>55218612.19794251</v>
      </c>
      <c r="D24" s="14" t="s">
        <v>3</v>
      </c>
      <c r="E24" s="64">
        <f>(SUM(E18:E19)-E20)*(1+'Fane 15. Nøgletal'!$C$12)</f>
        <v>58248935.347652867</v>
      </c>
      <c r="F24" s="14" t="s">
        <v>3</v>
      </c>
      <c r="G24" s="64">
        <f>C24+E24</f>
        <v>113467547.54559538</v>
      </c>
      <c r="H24" s="14" t="s">
        <v>3</v>
      </c>
      <c r="I24" s="1"/>
    </row>
    <row r="25" spans="1:9" ht="26.25" x14ac:dyDescent="0.25">
      <c r="A25" s="1"/>
      <c r="B25" s="28" t="s">
        <v>72</v>
      </c>
      <c r="C25" s="64">
        <v>129866.2300740262</v>
      </c>
      <c r="D25" s="14" t="s">
        <v>3</v>
      </c>
      <c r="E25" s="64">
        <v>0</v>
      </c>
      <c r="F25" s="14" t="s">
        <v>3</v>
      </c>
      <c r="G25" s="64">
        <f>C25+E25</f>
        <v>129866.2300740262</v>
      </c>
      <c r="H25" s="14" t="s">
        <v>3</v>
      </c>
      <c r="I25" s="1"/>
    </row>
    <row r="26" spans="1:9" ht="26.25" x14ac:dyDescent="0.25">
      <c r="A26" s="1"/>
      <c r="B26" s="28" t="s">
        <v>73</v>
      </c>
      <c r="C26" s="64">
        <f>(C24+C25)*'Fane 15. Nøgletal'!$C$23</f>
        <v>1571896.7873556698</v>
      </c>
      <c r="D26" s="14" t="s">
        <v>3</v>
      </c>
      <c r="E26" s="64">
        <f>(E24+E25)*'Fane 15. Nøgletal'!$C$23</f>
        <v>1654269.7638733415</v>
      </c>
      <c r="F26" s="14" t="s">
        <v>3</v>
      </c>
      <c r="G26" s="64">
        <f>(G24+G25)*'Fane 15. Nøgletal'!C23</f>
        <v>3226166.5512290113</v>
      </c>
      <c r="H26" s="14" t="s">
        <v>3</v>
      </c>
      <c r="I26" s="1"/>
    </row>
    <row r="27" spans="1:9" x14ac:dyDescent="0.25">
      <c r="A27" s="1"/>
      <c r="B27" s="32"/>
      <c r="C27" s="27"/>
      <c r="D27" s="27"/>
      <c r="E27" s="27"/>
      <c r="F27" s="27"/>
      <c r="G27" s="66"/>
      <c r="H27" s="19"/>
      <c r="I27" s="1"/>
    </row>
    <row r="28" spans="1:9" x14ac:dyDescent="0.25">
      <c r="A28" s="1"/>
      <c r="B28" s="1"/>
      <c r="C28" s="1"/>
      <c r="D28" s="1"/>
      <c r="E28" s="1"/>
      <c r="F28" s="1"/>
      <c r="G28" s="67"/>
      <c r="H28" s="1"/>
      <c r="I28" s="1"/>
    </row>
    <row r="29" spans="1:9" ht="39" x14ac:dyDescent="0.25">
      <c r="A29" s="1"/>
      <c r="B29" s="20" t="s">
        <v>74</v>
      </c>
      <c r="C29" s="155" t="s">
        <v>271</v>
      </c>
      <c r="D29" s="155"/>
      <c r="E29" s="155" t="s">
        <v>272</v>
      </c>
      <c r="F29" s="155"/>
      <c r="G29" s="155" t="s">
        <v>298</v>
      </c>
      <c r="H29" s="156"/>
      <c r="I29" s="1"/>
    </row>
    <row r="30" spans="1:9" ht="26.25" x14ac:dyDescent="0.25">
      <c r="A30" s="1"/>
      <c r="B30" s="28" t="s">
        <v>75</v>
      </c>
      <c r="C30" s="64">
        <f>(SUM(C24:C25)-C26)*(1+'Fane 15. Nøgletal'!$C$12)</f>
        <v>54835980.29898189</v>
      </c>
      <c r="D30" s="14" t="s">
        <v>3</v>
      </c>
      <c r="E30" s="64">
        <f>(SUM(E24:E25)-E26)*(1+'Fane 15. Nøgletal'!$C$12)</f>
        <v>57709580.495779991</v>
      </c>
      <c r="F30" s="14" t="s">
        <v>3</v>
      </c>
      <c r="G30" s="64">
        <f>C30+E30</f>
        <v>112545560.79476188</v>
      </c>
      <c r="H30" s="14" t="s">
        <v>3</v>
      </c>
      <c r="I30" s="1"/>
    </row>
    <row r="31" spans="1:9" ht="26.25" x14ac:dyDescent="0.25">
      <c r="A31" s="1"/>
      <c r="B31" s="28" t="s">
        <v>135</v>
      </c>
      <c r="C31" s="64">
        <v>1289034.07394832</v>
      </c>
      <c r="D31" s="14" t="s">
        <v>3</v>
      </c>
      <c r="E31" s="64">
        <v>0</v>
      </c>
      <c r="F31" s="14" t="s">
        <v>3</v>
      </c>
      <c r="G31" s="64">
        <f>C31+E31</f>
        <v>1289034.07394832</v>
      </c>
      <c r="H31" s="14" t="s">
        <v>3</v>
      </c>
      <c r="I31" s="1"/>
    </row>
    <row r="32" spans="1:9" ht="26.25" x14ac:dyDescent="0.25">
      <c r="A32" s="1"/>
      <c r="B32" s="28" t="s">
        <v>76</v>
      </c>
      <c r="C32" s="64">
        <f>C30*'Fane 15. Nøgletal'!$C$23+C31*'Fane 15. Nøgletal'!$C$24</f>
        <v>1592790.2775246645</v>
      </c>
      <c r="D32" s="14" t="s">
        <v>3</v>
      </c>
      <c r="E32" s="64">
        <f>E30*'Fane 15. Nøgletal'!$C$23+E31*'Fane 15. Nøgletal'!$C$24</f>
        <v>1638952.0860801518</v>
      </c>
      <c r="F32" s="14" t="s">
        <v>3</v>
      </c>
      <c r="G32" s="64">
        <f>G30*'Fane 15. Nøgletal'!C23+G31*'Fane 15. Nøgletal'!C24</f>
        <v>3231742.3636048161</v>
      </c>
      <c r="H32" s="14" t="s">
        <v>3</v>
      </c>
      <c r="I32" s="1"/>
    </row>
    <row r="33" spans="1:9" x14ac:dyDescent="0.25">
      <c r="A33" s="1"/>
      <c r="B33" s="32"/>
      <c r="C33" s="27"/>
      <c r="D33" s="27"/>
      <c r="E33" s="27"/>
      <c r="F33" s="27"/>
      <c r="G33" s="66"/>
      <c r="H33" s="19"/>
      <c r="I33" s="1"/>
    </row>
    <row r="34" spans="1:9" x14ac:dyDescent="0.25">
      <c r="A34" s="1"/>
      <c r="B34" s="1"/>
      <c r="C34" s="1"/>
      <c r="D34" s="1"/>
      <c r="E34" s="1"/>
      <c r="F34" s="1"/>
      <c r="G34" s="67"/>
      <c r="H34" s="1"/>
      <c r="I34" s="1"/>
    </row>
    <row r="35" spans="1:9" ht="39" x14ac:dyDescent="0.25">
      <c r="A35" s="1"/>
      <c r="B35" s="20" t="s">
        <v>159</v>
      </c>
      <c r="C35" s="155" t="s">
        <v>271</v>
      </c>
      <c r="D35" s="155"/>
      <c r="E35" s="155" t="s">
        <v>272</v>
      </c>
      <c r="F35" s="155"/>
      <c r="G35" s="155" t="s">
        <v>298</v>
      </c>
      <c r="H35" s="156"/>
      <c r="I35" s="1"/>
    </row>
    <row r="36" spans="1:9" ht="26.25" x14ac:dyDescent="0.25">
      <c r="A36" s="1"/>
      <c r="B36" s="28" t="s">
        <v>78</v>
      </c>
      <c r="C36" s="64">
        <f>(SUM(C30:C31)-C32)*(1+'Fane 15. Nøgletal'!$C$14)</f>
        <v>54712180.434920393</v>
      </c>
      <c r="D36" s="14" t="s">
        <v>3</v>
      </c>
      <c r="E36" s="64">
        <f>(SUM(E30:E31)-E32)*(1+'Fane 15. Nøgletal'!$C$14)</f>
        <v>56255661.483451858</v>
      </c>
      <c r="F36" s="14" t="s">
        <v>3</v>
      </c>
      <c r="G36" s="64">
        <f>C36+E36</f>
        <v>110967841.91837224</v>
      </c>
      <c r="H36" s="14" t="s">
        <v>3</v>
      </c>
      <c r="I36" s="1"/>
    </row>
    <row r="37" spans="1:9" ht="26.25" x14ac:dyDescent="0.25">
      <c r="A37" s="1"/>
      <c r="B37" s="28" t="s">
        <v>161</v>
      </c>
      <c r="C37" s="64">
        <v>0</v>
      </c>
      <c r="D37" s="14" t="s">
        <v>3</v>
      </c>
      <c r="E37" s="64">
        <v>0</v>
      </c>
      <c r="F37" s="14" t="s">
        <v>3</v>
      </c>
      <c r="G37" s="64">
        <f>C37+E37</f>
        <v>0</v>
      </c>
      <c r="H37" s="14" t="s">
        <v>3</v>
      </c>
      <c r="I37" s="1"/>
    </row>
    <row r="38" spans="1:9" ht="26.25" x14ac:dyDescent="0.25">
      <c r="A38" s="1"/>
      <c r="B38" s="28" t="s">
        <v>160</v>
      </c>
      <c r="C38" s="64">
        <f>C36*'Fane 15. Nøgletal'!$C$25</f>
        <v>809740.27043682185</v>
      </c>
      <c r="D38" s="14" t="s">
        <v>3</v>
      </c>
      <c r="E38" s="64">
        <f>E36*'Fane 15. Nøgletal'!$C$25</f>
        <v>832583.78995508759</v>
      </c>
      <c r="F38" s="14" t="s">
        <v>3</v>
      </c>
      <c r="G38" s="64">
        <f>(G36+G37)*'Fane 15. Nøgletal'!C25</f>
        <v>1642324.0603919092</v>
      </c>
      <c r="H38" s="14" t="s">
        <v>3</v>
      </c>
      <c r="I38" s="1"/>
    </row>
    <row r="39" spans="1:9" x14ac:dyDescent="0.25">
      <c r="A39" s="1"/>
      <c r="B39" s="32"/>
      <c r="C39" s="27"/>
      <c r="D39" s="27"/>
      <c r="E39" s="27"/>
      <c r="F39" s="27"/>
      <c r="G39" s="66"/>
      <c r="H39" s="19"/>
      <c r="I39" s="1"/>
    </row>
    <row r="40" spans="1:9" x14ac:dyDescent="0.25">
      <c r="A40" s="1"/>
      <c r="B40" s="1"/>
      <c r="C40" s="1"/>
      <c r="D40" s="1"/>
      <c r="E40" s="1"/>
      <c r="F40" s="1"/>
      <c r="G40" s="67"/>
      <c r="H40" s="1"/>
      <c r="I40" s="1"/>
    </row>
    <row r="41" spans="1:9" ht="39" x14ac:dyDescent="0.25">
      <c r="A41" s="1"/>
      <c r="B41" s="20" t="s">
        <v>209</v>
      </c>
      <c r="C41" s="155" t="s">
        <v>271</v>
      </c>
      <c r="D41" s="155"/>
      <c r="E41" s="155" t="s">
        <v>272</v>
      </c>
      <c r="F41" s="155"/>
      <c r="G41" s="155" t="s">
        <v>298</v>
      </c>
      <c r="H41" s="156"/>
      <c r="I41" s="1"/>
    </row>
    <row r="42" spans="1:9" ht="26.25" x14ac:dyDescent="0.25">
      <c r="A42" s="1"/>
      <c r="B42" s="28" t="s">
        <v>77</v>
      </c>
      <c r="C42" s="64">
        <f>(SUM(C36:C37)-C38)*(1+'Fane 15. Nøgletal'!$C$14)</f>
        <v>54080318.217026368</v>
      </c>
      <c r="D42" s="14" t="s">
        <v>3</v>
      </c>
      <c r="E42" s="64">
        <f>(SUM(E36:E37)-E38)*(1+'Fane 15. Nøgletal'!$C$14)</f>
        <v>55605973.849885315</v>
      </c>
      <c r="F42" s="14" t="s">
        <v>3</v>
      </c>
      <c r="G42" s="64">
        <f>C42+E42</f>
        <v>109686292.06691168</v>
      </c>
      <c r="H42" s="14" t="s">
        <v>3</v>
      </c>
      <c r="I42" s="1"/>
    </row>
    <row r="43" spans="1:9" ht="26.25" x14ac:dyDescent="0.25">
      <c r="A43" s="1"/>
      <c r="B43" s="28" t="s">
        <v>217</v>
      </c>
      <c r="C43" s="68">
        <f>('Fane 2.1. Økonomisk ramme 2023'!C11+'Fane 2.1. Økonomisk ramme 2023'!C13+'Fane 2.1. Økonomisk ramme 2023'!C15)*(1+'Fane 15. Nøgletal'!C15)</f>
        <v>0</v>
      </c>
      <c r="D43" s="127" t="s">
        <v>3</v>
      </c>
      <c r="E43" s="68">
        <f>('Fane 2.1. Økonomisk ramme 2023'!E11+'Fane 2.1. Økonomisk ramme 2023'!E13+'Fane 2.1. Økonomisk ramme 2023'!E15)*(1+'Fane 15. Nøgletal'!C15)</f>
        <v>1369546.1810568001</v>
      </c>
      <c r="F43" s="127" t="s">
        <v>3</v>
      </c>
      <c r="G43" s="68">
        <f>C43+E43</f>
        <v>1369546.1810568001</v>
      </c>
      <c r="H43" s="127" t="s">
        <v>3</v>
      </c>
      <c r="I43" s="1"/>
    </row>
    <row r="44" spans="1:9" ht="26.25" x14ac:dyDescent="0.25">
      <c r="A44" s="1"/>
      <c r="B44" s="28" t="s">
        <v>162</v>
      </c>
      <c r="C44" s="64">
        <f>C42*'Fane 15. Nøgletal'!$C$25+C43*'Fane 15. Nøgletal'!$C$26</f>
        <v>800388.70961199026</v>
      </c>
      <c r="D44" s="14" t="s">
        <v>3</v>
      </c>
      <c r="E44" s="64">
        <f>E42*'Fane 15. Nøgletal'!$C$25+E43*'Fane 15. Nøgletal'!$C$26</f>
        <v>822968.41297830269</v>
      </c>
      <c r="F44" s="14" t="s">
        <v>3</v>
      </c>
      <c r="G44" s="64">
        <f>(G42)*'Fane 15. Nøgletal'!C25+G43*'Fane 15. Nøgletal'!C26</f>
        <v>1623357.1225902929</v>
      </c>
      <c r="H44" s="14" t="s">
        <v>3</v>
      </c>
      <c r="I44" s="1"/>
    </row>
    <row r="45" spans="1:9" x14ac:dyDescent="0.25">
      <c r="A45" s="1"/>
      <c r="B45" s="32"/>
      <c r="C45" s="27"/>
      <c r="D45" s="27"/>
      <c r="E45" s="27"/>
      <c r="F45" s="27"/>
      <c r="G45" s="66"/>
      <c r="H45" s="19"/>
      <c r="I45" s="1"/>
    </row>
    <row r="46" spans="1:9" x14ac:dyDescent="0.25">
      <c r="A46" s="1"/>
      <c r="B46" s="1"/>
      <c r="C46" s="1"/>
      <c r="D46" s="1"/>
      <c r="E46" s="1"/>
      <c r="F46" s="1"/>
      <c r="G46" s="67"/>
      <c r="H46" s="1"/>
      <c r="I46" s="1"/>
    </row>
    <row r="47" spans="1:9" ht="39" x14ac:dyDescent="0.25">
      <c r="A47" s="1"/>
      <c r="B47" s="20" t="s">
        <v>292</v>
      </c>
      <c r="C47" s="155" t="s">
        <v>271</v>
      </c>
      <c r="D47" s="155"/>
      <c r="E47" s="155" t="s">
        <v>272</v>
      </c>
      <c r="F47" s="155"/>
      <c r="G47" s="155" t="s">
        <v>298</v>
      </c>
      <c r="H47" s="156"/>
      <c r="I47" s="1"/>
    </row>
    <row r="48" spans="1:9" ht="26.25" x14ac:dyDescent="0.25">
      <c r="A48" s="1"/>
      <c r="B48" s="28" t="s">
        <v>136</v>
      </c>
      <c r="C48" s="64">
        <f>(SUM(C42:C43)-C44)*(1+'Fane 15. Nøgletal'!$C$15)</f>
        <v>55176694.997878335</v>
      </c>
      <c r="D48" s="14" t="s">
        <v>3</v>
      </c>
      <c r="E48" s="68">
        <f>(SUM(E42:E43)-E44)*(1+'Fane 15. Nøgletal'!$C$15)</f>
        <v>58151582.455563322</v>
      </c>
      <c r="F48" s="14" t="s">
        <v>3</v>
      </c>
      <c r="G48" s="64">
        <f>C48+E48</f>
        <v>113328277.45344165</v>
      </c>
      <c r="H48" s="14" t="s">
        <v>3</v>
      </c>
      <c r="I48" s="1"/>
    </row>
    <row r="49" spans="1:9" ht="26.25" x14ac:dyDescent="0.25">
      <c r="A49" s="1"/>
      <c r="B49" s="28" t="s">
        <v>137</v>
      </c>
      <c r="C49" s="64">
        <f>C48*'Fane 15. Nøgletal'!$C$26</f>
        <v>0</v>
      </c>
      <c r="D49" s="14" t="s">
        <v>3</v>
      </c>
      <c r="E49" s="64">
        <f>E48*'Fane 15. Nøgletal'!$C$26</f>
        <v>0</v>
      </c>
      <c r="F49" s="14" t="s">
        <v>3</v>
      </c>
      <c r="G49" s="64">
        <f>(G48)*'Fane 15. Nøgletal'!C26</f>
        <v>0</v>
      </c>
      <c r="H49" s="14" t="s">
        <v>3</v>
      </c>
      <c r="I49" s="1"/>
    </row>
    <row r="50" spans="1:9" x14ac:dyDescent="0.25">
      <c r="A50" s="1"/>
      <c r="B50" s="32"/>
      <c r="C50" s="27"/>
      <c r="D50" s="27"/>
      <c r="E50" s="27"/>
      <c r="F50" s="27"/>
      <c r="G50" s="66"/>
      <c r="H50" s="19"/>
      <c r="I50" s="1"/>
    </row>
    <row r="51" spans="1:9" x14ac:dyDescent="0.25">
      <c r="A51" s="1"/>
      <c r="B51" s="1"/>
      <c r="C51" s="1"/>
      <c r="D51" s="1"/>
      <c r="E51" s="1"/>
      <c r="F51" s="1"/>
      <c r="G51" s="67"/>
      <c r="H51" s="1"/>
      <c r="I51" s="1"/>
    </row>
    <row r="52" spans="1:9" ht="39" x14ac:dyDescent="0.25">
      <c r="A52" s="1"/>
      <c r="B52" s="20" t="s">
        <v>293</v>
      </c>
      <c r="C52" s="155" t="s">
        <v>271</v>
      </c>
      <c r="D52" s="155"/>
      <c r="E52" s="155" t="s">
        <v>272</v>
      </c>
      <c r="F52" s="155"/>
      <c r="G52" s="155" t="s">
        <v>298</v>
      </c>
      <c r="H52" s="156"/>
      <c r="I52" s="1"/>
    </row>
    <row r="53" spans="1:9" ht="26.25" x14ac:dyDescent="0.25">
      <c r="A53" s="1"/>
      <c r="B53" s="28" t="s">
        <v>167</v>
      </c>
      <c r="C53" s="64">
        <f>(SUM(C48)-C49)*(1+'Fane 15. Nøgletal'!$C$15)</f>
        <v>57140985.339802809</v>
      </c>
      <c r="D53" s="14" t="s">
        <v>3</v>
      </c>
      <c r="E53" s="68">
        <f>(SUM(E48)-E49)*(1+'Fane 15. Nøgletal'!$C$15)</f>
        <v>60221778.790981382</v>
      </c>
      <c r="F53" s="14" t="s">
        <v>3</v>
      </c>
      <c r="G53" s="64">
        <f>C53+E53</f>
        <v>117362764.13078418</v>
      </c>
      <c r="H53" s="14" t="s">
        <v>3</v>
      </c>
      <c r="I53" s="1"/>
    </row>
    <row r="54" spans="1:9" ht="26.25" x14ac:dyDescent="0.25">
      <c r="A54" s="1"/>
      <c r="B54" s="28" t="s">
        <v>168</v>
      </c>
      <c r="C54" s="64">
        <f>C53*'Fane 15. Nøgletal'!$C$26</f>
        <v>0</v>
      </c>
      <c r="D54" s="14" t="s">
        <v>3</v>
      </c>
      <c r="E54" s="64">
        <f>E53*'Fane 15. Nøgletal'!$C$26</f>
        <v>0</v>
      </c>
      <c r="F54" s="14" t="s">
        <v>3</v>
      </c>
      <c r="G54" s="64">
        <f>(G53)*'Fane 15. Nøgletal'!C26</f>
        <v>0</v>
      </c>
      <c r="H54" s="14" t="s">
        <v>3</v>
      </c>
      <c r="I54" s="1"/>
    </row>
    <row r="55" spans="1:9" x14ac:dyDescent="0.25">
      <c r="A55" s="1"/>
      <c r="B55" s="32"/>
      <c r="C55" s="27"/>
      <c r="D55" s="27"/>
      <c r="E55" s="27"/>
      <c r="F55" s="27"/>
      <c r="G55" s="66"/>
      <c r="H55" s="19"/>
      <c r="I55" s="1"/>
    </row>
    <row r="56" spans="1:9" x14ac:dyDescent="0.25">
      <c r="A56" s="1"/>
      <c r="B56" s="1"/>
      <c r="C56" s="1"/>
      <c r="D56" s="1"/>
      <c r="E56" s="1"/>
      <c r="F56" s="1"/>
      <c r="G56" s="67"/>
      <c r="H56" s="1"/>
      <c r="I56" s="1"/>
    </row>
    <row r="57" spans="1:9" ht="39" x14ac:dyDescent="0.25">
      <c r="A57" s="1"/>
      <c r="B57" s="20" t="s">
        <v>294</v>
      </c>
      <c r="C57" s="155" t="s">
        <v>271</v>
      </c>
      <c r="D57" s="155"/>
      <c r="E57" s="155" t="s">
        <v>272</v>
      </c>
      <c r="F57" s="155"/>
      <c r="G57" s="155" t="s">
        <v>298</v>
      </c>
      <c r="H57" s="156"/>
      <c r="I57" s="1"/>
    </row>
    <row r="58" spans="1:9" ht="26.25" x14ac:dyDescent="0.25">
      <c r="A58" s="1"/>
      <c r="B58" s="28" t="s">
        <v>187</v>
      </c>
      <c r="C58" s="64">
        <f>(SUM(C53)-C54)*(1+'Fane 15. Nøgletal'!$C$15)</f>
        <v>59175204.417899795</v>
      </c>
      <c r="D58" s="14" t="s">
        <v>3</v>
      </c>
      <c r="E58" s="68">
        <f>(SUM(E53)-E54)*(1+'Fane 15. Nøgletal'!$C$15)</f>
        <v>62365674.115940325</v>
      </c>
      <c r="F58" s="14" t="s">
        <v>3</v>
      </c>
      <c r="G58" s="64">
        <f>C58+E58</f>
        <v>121540878.53384012</v>
      </c>
      <c r="H58" s="14" t="s">
        <v>3</v>
      </c>
      <c r="I58" s="1"/>
    </row>
    <row r="59" spans="1:9" ht="26.25" x14ac:dyDescent="0.25">
      <c r="A59" s="1"/>
      <c r="B59" s="28" t="s">
        <v>188</v>
      </c>
      <c r="C59" s="64">
        <f>C58*'Fane 15. Nøgletal'!$C$26</f>
        <v>0</v>
      </c>
      <c r="D59" s="14" t="s">
        <v>3</v>
      </c>
      <c r="E59" s="64">
        <f>E58*'Fane 15. Nøgletal'!$C$26</f>
        <v>0</v>
      </c>
      <c r="F59" s="14" t="s">
        <v>3</v>
      </c>
      <c r="G59" s="64">
        <f>(G58)*'Fane 15. Nøgletal'!C26</f>
        <v>0</v>
      </c>
      <c r="H59" s="14" t="s">
        <v>3</v>
      </c>
      <c r="I59" s="1"/>
    </row>
    <row r="60" spans="1:9" x14ac:dyDescent="0.25">
      <c r="A60" s="1"/>
      <c r="B60" s="32"/>
      <c r="C60" s="27"/>
      <c r="D60" s="27"/>
      <c r="E60" s="27"/>
      <c r="F60" s="27"/>
      <c r="G60" s="27"/>
      <c r="H60" s="19"/>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BDH4V4kMFAUgQ/tdapcmlOXUQ1w4jjytOjFpnJXaNy5OU/BO5xqiXzi6Pwb21hNypD2Hz8BI58UxY9MmT+sWyw==" saltValue="r7I3Bpg/MjDQBALLjD8/pQ==" spinCount="100000" sheet="1" objects="1" scenarios="1"/>
  <mergeCells count="31">
    <mergeCell ref="C17:D17"/>
    <mergeCell ref="E17:F17"/>
    <mergeCell ref="G17:H17"/>
    <mergeCell ref="B1:H3"/>
    <mergeCell ref="E52:F52"/>
    <mergeCell ref="G52:H52"/>
    <mergeCell ref="C23:D23"/>
    <mergeCell ref="E23:F23"/>
    <mergeCell ref="G23:H23"/>
    <mergeCell ref="C29:D29"/>
    <mergeCell ref="E29:F29"/>
    <mergeCell ref="G29:H29"/>
    <mergeCell ref="C35:D35"/>
    <mergeCell ref="E35:F35"/>
    <mergeCell ref="G35:H35"/>
    <mergeCell ref="C57:D57"/>
    <mergeCell ref="E57:F57"/>
    <mergeCell ref="G57:H57"/>
    <mergeCell ref="C5:D5"/>
    <mergeCell ref="E5:F5"/>
    <mergeCell ref="G5:H5"/>
    <mergeCell ref="C10:D10"/>
    <mergeCell ref="E10:F10"/>
    <mergeCell ref="G10:H10"/>
    <mergeCell ref="C41:D41"/>
    <mergeCell ref="E41:F41"/>
    <mergeCell ref="G41:H41"/>
    <mergeCell ref="C47:D47"/>
    <mergeCell ref="E47:F47"/>
    <mergeCell ref="G47:H47"/>
    <mergeCell ref="C52:D5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57" t="s">
        <v>87</v>
      </c>
      <c r="C3" s="157"/>
      <c r="D3" s="157"/>
      <c r="E3" s="157"/>
      <c r="F3" s="157"/>
      <c r="G3" s="157"/>
      <c r="H3" s="1"/>
    </row>
    <row r="4" spans="1:8" ht="15" customHeight="1" x14ac:dyDescent="0.25">
      <c r="A4" s="1"/>
      <c r="B4" s="157"/>
      <c r="C4" s="157"/>
      <c r="D4" s="157"/>
      <c r="E4" s="157"/>
      <c r="F4" s="157"/>
      <c r="G4" s="15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70" t="s">
        <v>290</v>
      </c>
      <c r="C8" s="171"/>
      <c r="D8" s="171"/>
      <c r="E8" s="171"/>
      <c r="F8" s="171"/>
      <c r="G8" s="171"/>
      <c r="H8" s="1"/>
    </row>
    <row r="9" spans="1:8" x14ac:dyDescent="0.25">
      <c r="A9" s="1"/>
      <c r="B9" s="164" t="s">
        <v>148</v>
      </c>
      <c r="C9" s="165"/>
      <c r="D9" s="165"/>
      <c r="E9" s="165"/>
      <c r="F9" s="166"/>
      <c r="G9" s="35">
        <v>9.8845864313645559E-3</v>
      </c>
      <c r="H9" s="1"/>
    </row>
    <row r="10" spans="1:8" x14ac:dyDescent="0.25">
      <c r="A10" s="1"/>
      <c r="B10" s="32"/>
      <c r="C10" s="27"/>
      <c r="D10" s="27"/>
      <c r="E10" s="27"/>
      <c r="F10" s="27"/>
      <c r="G10" s="27"/>
      <c r="H10" s="1"/>
    </row>
    <row r="11" spans="1:8" ht="29.25" customHeight="1" x14ac:dyDescent="0.25">
      <c r="A11" s="1"/>
      <c r="B11" s="167" t="s">
        <v>223</v>
      </c>
      <c r="C11" s="168"/>
      <c r="D11" s="168"/>
      <c r="E11" s="168"/>
      <c r="F11" s="168"/>
      <c r="G11" s="168"/>
      <c r="H11" s="1"/>
    </row>
    <row r="12" spans="1:8" x14ac:dyDescent="0.25">
      <c r="A12" s="1"/>
      <c r="B12" s="1"/>
      <c r="C12" s="1"/>
      <c r="D12" s="1"/>
      <c r="E12" s="1"/>
      <c r="F12" s="1"/>
      <c r="G12" s="1"/>
      <c r="H12" s="1"/>
    </row>
    <row r="13" spans="1:8" x14ac:dyDescent="0.25">
      <c r="A13" s="1"/>
      <c r="B13" s="170" t="s">
        <v>291</v>
      </c>
      <c r="C13" s="171"/>
      <c r="D13" s="171"/>
      <c r="E13" s="171"/>
      <c r="F13" s="171"/>
      <c r="G13" s="172"/>
      <c r="H13" s="1"/>
    </row>
    <row r="14" spans="1:8" x14ac:dyDescent="0.25">
      <c r="A14" s="1"/>
      <c r="B14" s="164" t="s">
        <v>148</v>
      </c>
      <c r="C14" s="165"/>
      <c r="D14" s="165"/>
      <c r="E14" s="165"/>
      <c r="F14" s="166"/>
      <c r="G14" s="35">
        <v>1.0294725686455182E-2</v>
      </c>
      <c r="H14" s="1"/>
    </row>
    <row r="15" spans="1:8" x14ac:dyDescent="0.25">
      <c r="A15" s="1"/>
      <c r="B15" s="32"/>
      <c r="C15" s="27"/>
      <c r="D15" s="27"/>
      <c r="E15" s="27"/>
      <c r="F15" s="27"/>
      <c r="G15" s="19"/>
      <c r="H15" s="1"/>
    </row>
    <row r="16" spans="1:8" ht="26.25" customHeight="1" x14ac:dyDescent="0.25">
      <c r="A16" s="1"/>
      <c r="B16" s="167" t="s">
        <v>223</v>
      </c>
      <c r="C16" s="168"/>
      <c r="D16" s="168"/>
      <c r="E16" s="168"/>
      <c r="F16" s="168"/>
      <c r="G16" s="169"/>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f0kmrptYGcKzqP35h/lf4wvT3Lr/BhTk35MsYV61L51/WgGjDjme58iTm8VMiTgM4j+i5qquUcUEWrHlOw+jHA==" saltValue="HJOUPptwVxzYkuSh/xAnEw==" spinCount="100000" sheet="1" objects="1" scenarios="1"/>
  <mergeCells count="7">
    <mergeCell ref="B14:F14"/>
    <mergeCell ref="B16:G16"/>
    <mergeCell ref="B11:G11"/>
    <mergeCell ref="B3:G4"/>
    <mergeCell ref="B8:G8"/>
    <mergeCell ref="B9:F9"/>
    <mergeCell ref="B13:G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Siri Linn Vecht Hagelund</cp:lastModifiedBy>
  <cp:lastPrinted>2016-06-14T12:57:30Z</cp:lastPrinted>
  <dcterms:created xsi:type="dcterms:W3CDTF">2016-06-02T08:51:18Z</dcterms:created>
  <dcterms:modified xsi:type="dcterms:W3CDTF">2024-04-16T12:44:25Z</dcterms:modified>
</cp:coreProperties>
</file>