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rsens Vand AS (S04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5" i="19" l="1"/>
  <c r="E34" i="27" l="1"/>
  <c r="C21" i="23"/>
  <c r="C21" i="22"/>
  <c r="C22" i="15"/>
  <c r="C38" i="2"/>
  <c r="G18" i="41" l="1"/>
  <c r="E26" i="32" l="1"/>
  <c r="E34" i="32" l="1"/>
  <c r="E36" i="32" s="1"/>
  <c r="C19" i="23" s="1"/>
  <c r="E30" i="32"/>
  <c r="C36" i="2" s="1"/>
  <c r="F10" i="11"/>
  <c r="C19" i="22" l="1"/>
  <c r="C20" i="15"/>
  <c r="J11" i="11" l="1"/>
  <c r="H11" i="11"/>
  <c r="C16" i="19" l="1"/>
  <c r="C15" i="23" l="1"/>
  <c r="C15" i="22"/>
  <c r="C16" i="15"/>
  <c r="C24" i="2"/>
  <c r="G34" i="30"/>
  <c r="C11" i="2"/>
  <c r="C10" i="2"/>
  <c r="C10" i="37" l="1"/>
  <c r="C12"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2"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3" i="37" l="1"/>
  <c r="C12" i="2" s="1"/>
  <c r="E11" i="29"/>
  <c r="E12" i="29" s="1"/>
  <c r="C11" i="29"/>
  <c r="C12" i="29" s="1"/>
  <c r="C17" i="2" l="1"/>
  <c r="C16" i="2"/>
  <c r="G47" i="30" s="1"/>
  <c r="G42" i="30" l="1"/>
  <c r="E13"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<sst xmlns="http://schemas.openxmlformats.org/spreadsheetml/2006/main" count="629" uniqueCount="295">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</sst>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10" fontId="0" fillId="0" borderId="7" xfId="4" applyNumberFormat="1" applyFont="1" applyBorder="1" applyProtection="1"/>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0" t="s">
        <v>232</v>
      </c>
      <c r="E8" s="110"/>
      <c r="F8" s="110"/>
      <c r="G8" s="11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1"/>
      <c r="I12" s="1"/>
    </row>
    <row r="13" spans="1:9" x14ac:dyDescent="0.25">
      <c r="A13" s="1"/>
      <c r="B13" s="1"/>
      <c r="C13" s="6" t="s">
        <v>6</v>
      </c>
      <c r="D13" s="111" t="s">
        <v>134</v>
      </c>
      <c r="E13" s="112"/>
      <c r="F13" s="112"/>
      <c r="G13" s="113"/>
      <c r="H13" s="1"/>
      <c r="I13" s="1"/>
    </row>
    <row r="14" spans="1:9" x14ac:dyDescent="0.25">
      <c r="A14" s="1"/>
      <c r="B14" s="1"/>
      <c r="C14" s="6" t="s">
        <v>16</v>
      </c>
      <c r="D14" s="111" t="s">
        <v>235</v>
      </c>
      <c r="E14" s="112"/>
      <c r="F14" s="112"/>
      <c r="G14" s="113"/>
      <c r="H14" s="1"/>
      <c r="I14" s="1"/>
    </row>
    <row r="15" spans="1:9" x14ac:dyDescent="0.25">
      <c r="A15" s="1"/>
      <c r="B15" s="1"/>
      <c r="C15" s="6" t="s">
        <v>34</v>
      </c>
      <c r="D15" s="111" t="s">
        <v>135</v>
      </c>
      <c r="E15" s="112"/>
      <c r="F15" s="112"/>
      <c r="G15" s="113"/>
      <c r="H15" s="1"/>
      <c r="I15" s="1"/>
    </row>
    <row r="16" spans="1:9" x14ac:dyDescent="0.25">
      <c r="A16" s="1"/>
      <c r="B16" s="1"/>
      <c r="C16" s="6" t="s">
        <v>35</v>
      </c>
      <c r="D16" s="111" t="s">
        <v>191</v>
      </c>
      <c r="E16" s="112"/>
      <c r="F16" s="112"/>
      <c r="G16" s="113"/>
      <c r="H16" s="1"/>
      <c r="I16" s="1"/>
    </row>
    <row r="17" spans="1:9" x14ac:dyDescent="0.25">
      <c r="A17" s="1"/>
      <c r="B17" s="1"/>
      <c r="C17" s="6" t="s">
        <v>109</v>
      </c>
      <c r="D17" s="111" t="s">
        <v>192</v>
      </c>
      <c r="E17" s="112"/>
      <c r="F17" s="112"/>
      <c r="G17" s="113"/>
      <c r="H17" s="1"/>
      <c r="I17" s="1"/>
    </row>
    <row r="18" spans="1:9" x14ac:dyDescent="0.25">
      <c r="A18" s="1"/>
      <c r="B18" s="1"/>
      <c r="C18" s="6" t="s">
        <v>94</v>
      </c>
      <c r="D18" s="114" t="s">
        <v>83</v>
      </c>
      <c r="E18" s="115"/>
      <c r="F18" s="115"/>
      <c r="G18" s="116"/>
      <c r="H18" s="1"/>
      <c r="I18" s="1"/>
    </row>
    <row r="19" spans="1:9" x14ac:dyDescent="0.25">
      <c r="A19" s="1"/>
      <c r="B19" s="1"/>
      <c r="C19" s="6" t="s">
        <v>95</v>
      </c>
      <c r="D19" s="114" t="s">
        <v>84</v>
      </c>
      <c r="E19" s="115"/>
      <c r="F19" s="115"/>
      <c r="G19" s="116"/>
      <c r="H19" s="1"/>
      <c r="I19" s="1"/>
    </row>
    <row r="20" spans="1:9" x14ac:dyDescent="0.25">
      <c r="A20" s="1"/>
      <c r="B20" s="1"/>
      <c r="C20" s="6" t="s">
        <v>7</v>
      </c>
      <c r="D20" s="114" t="s">
        <v>10</v>
      </c>
      <c r="E20" s="115"/>
      <c r="F20" s="115"/>
      <c r="G20" s="116"/>
      <c r="H20" s="1"/>
      <c r="I20" s="1"/>
    </row>
    <row r="21" spans="1:9" x14ac:dyDescent="0.25">
      <c r="A21" s="1"/>
      <c r="B21" s="1"/>
      <c r="C21" s="6" t="s">
        <v>96</v>
      </c>
      <c r="D21" s="102" t="s">
        <v>12</v>
      </c>
      <c r="E21" s="103"/>
      <c r="F21" s="103"/>
      <c r="G21" s="104"/>
      <c r="H21" s="1"/>
      <c r="I21" s="1"/>
    </row>
    <row r="22" spans="1:9" x14ac:dyDescent="0.25">
      <c r="A22" s="1"/>
      <c r="B22" s="1"/>
      <c r="C22" s="6" t="s">
        <v>71</v>
      </c>
      <c r="D22" s="105" t="s">
        <v>193</v>
      </c>
      <c r="E22" s="106"/>
      <c r="F22" s="106"/>
      <c r="G22" s="107"/>
      <c r="H22" s="1"/>
      <c r="I22" s="1"/>
    </row>
    <row r="23" spans="1:9" x14ac:dyDescent="0.25">
      <c r="A23" s="1"/>
      <c r="B23" s="1"/>
      <c r="C23" s="6" t="s">
        <v>8</v>
      </c>
      <c r="D23" s="105" t="s">
        <v>251</v>
      </c>
      <c r="E23" s="106"/>
      <c r="F23" s="106"/>
      <c r="G23" s="107"/>
      <c r="H23" s="1"/>
      <c r="I23" s="1"/>
    </row>
    <row r="24" spans="1:9" x14ac:dyDescent="0.25">
      <c r="A24" s="1"/>
      <c r="B24" s="1"/>
      <c r="C24" s="6" t="s">
        <v>9</v>
      </c>
      <c r="D24" s="105" t="s">
        <v>194</v>
      </c>
      <c r="E24" s="106"/>
      <c r="F24" s="106"/>
      <c r="G24" s="107"/>
      <c r="H24" s="1"/>
      <c r="I24" s="1"/>
    </row>
    <row r="25" spans="1:9" x14ac:dyDescent="0.25">
      <c r="A25" s="1"/>
      <c r="B25" s="1"/>
      <c r="C25" s="6" t="s">
        <v>264</v>
      </c>
      <c r="D25" s="105" t="s">
        <v>246</v>
      </c>
      <c r="E25" s="106"/>
      <c r="F25" s="106"/>
      <c r="G25" s="107"/>
      <c r="H25" s="1"/>
      <c r="I25" s="1"/>
    </row>
    <row r="26" spans="1:9" x14ac:dyDescent="0.25">
      <c r="A26" s="1"/>
      <c r="B26" s="1"/>
      <c r="C26" s="6" t="s">
        <v>265</v>
      </c>
      <c r="D26" s="105" t="s">
        <v>72</v>
      </c>
      <c r="E26" s="106"/>
      <c r="F26" s="106"/>
      <c r="G26" s="107"/>
      <c r="H26" s="1"/>
      <c r="I26" s="1"/>
    </row>
    <row r="27" spans="1:9" x14ac:dyDescent="0.25">
      <c r="A27" s="1"/>
      <c r="B27" s="1"/>
      <c r="C27" s="6" t="s">
        <v>266</v>
      </c>
      <c r="D27" s="105" t="s">
        <v>73</v>
      </c>
      <c r="E27" s="106"/>
      <c r="F27" s="106"/>
      <c r="G27" s="107"/>
      <c r="H27" s="1"/>
      <c r="I27" s="1"/>
    </row>
    <row r="28" spans="1:9" x14ac:dyDescent="0.25">
      <c r="A28" s="1"/>
      <c r="B28" s="1"/>
      <c r="C28" s="6" t="s">
        <v>15</v>
      </c>
      <c r="D28" s="105" t="s">
        <v>74</v>
      </c>
      <c r="E28" s="106"/>
      <c r="F28" s="106"/>
      <c r="G28" s="107"/>
      <c r="H28" s="1"/>
      <c r="I28" s="1"/>
    </row>
    <row r="29" spans="1:9" x14ac:dyDescent="0.25">
      <c r="A29" s="1"/>
      <c r="B29" s="1"/>
      <c r="C29" s="6" t="s">
        <v>37</v>
      </c>
      <c r="D29" s="105" t="s">
        <v>112</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267</v>
      </c>
      <c r="D31" s="99" t="s">
        <v>92</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3dIWqL6gHL2+2M4p1z8xGnI01PZ/Y2CjC8JvQah8ko30bTfeGM7oMVW1AInxLR8YZ/6rpgbNLIDpSeYIAL1sEQ==" saltValue="Uc/Kj4qJ/bRP4pTnaQ0xww=="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72" t="s">
        <v>278</v>
      </c>
      <c r="C10" s="9">
        <v>2443744</v>
      </c>
      <c r="D10" s="14" t="s">
        <v>3</v>
      </c>
      <c r="E10" s="1"/>
      <c r="F10" s="1"/>
    </row>
    <row r="11" spans="1:6" ht="15" customHeight="1" x14ac:dyDescent="0.25">
      <c r="A11" s="1"/>
      <c r="B11" s="72" t="s">
        <v>279</v>
      </c>
      <c r="C11" s="9">
        <v>165965</v>
      </c>
      <c r="D11" s="14" t="s">
        <v>3</v>
      </c>
      <c r="E11" s="1"/>
      <c r="F11" s="1"/>
    </row>
    <row r="12" spans="1:6" x14ac:dyDescent="0.25">
      <c r="A12" s="1"/>
      <c r="B12" s="72" t="s">
        <v>280</v>
      </c>
      <c r="C12" s="9">
        <v>31746</v>
      </c>
      <c r="D12" s="14" t="s">
        <v>3</v>
      </c>
      <c r="E12" s="1"/>
      <c r="F12" s="1"/>
    </row>
    <row r="13" spans="1:6" x14ac:dyDescent="0.25">
      <c r="A13" s="1"/>
      <c r="B13" s="72" t="s">
        <v>281</v>
      </c>
      <c r="C13" s="9">
        <v>376646</v>
      </c>
      <c r="D13" s="14" t="s">
        <v>3</v>
      </c>
      <c r="E13" s="1"/>
      <c r="F13" s="1"/>
    </row>
    <row r="14" spans="1:6" x14ac:dyDescent="0.25">
      <c r="A14" s="1"/>
      <c r="B14" s="72" t="s">
        <v>282</v>
      </c>
      <c r="C14" s="9">
        <v>528331</v>
      </c>
      <c r="D14" s="14" t="s">
        <v>3</v>
      </c>
      <c r="E14" s="1"/>
      <c r="F14" s="1"/>
    </row>
    <row r="15" spans="1:6" x14ac:dyDescent="0.25">
      <c r="A15" s="1"/>
      <c r="B15" s="32" t="s">
        <v>211</v>
      </c>
      <c r="C15" s="12">
        <f>SUM(C10:C14)</f>
        <v>3546432</v>
      </c>
      <c r="D15" s="13" t="s">
        <v>3</v>
      </c>
      <c r="E15" s="1"/>
      <c r="F15" s="1"/>
    </row>
    <row r="16" spans="1:6" x14ac:dyDescent="0.25">
      <c r="A16" s="1"/>
      <c r="B16" s="32" t="s">
        <v>212</v>
      </c>
      <c r="C16" s="12">
        <f>C15*(1+'Fane 15. Nøgletal'!C15)^2</f>
        <v>3803432.5644595204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50" t="s">
        <v>105</v>
      </c>
      <c r="C19" s="151"/>
      <c r="D19" s="153"/>
      <c r="E19" s="1"/>
      <c r="F19" s="1"/>
    </row>
    <row r="20" spans="1:6" x14ac:dyDescent="0.25">
      <c r="A20" s="1"/>
      <c r="B20" s="72" t="s">
        <v>268</v>
      </c>
      <c r="C20" s="9">
        <v>0</v>
      </c>
      <c r="D20" s="14" t="s">
        <v>3</v>
      </c>
      <c r="E20" s="1"/>
      <c r="F20" s="1"/>
    </row>
    <row r="21" spans="1:6" x14ac:dyDescent="0.25">
      <c r="A21" s="1"/>
      <c r="B21" s="72" t="s">
        <v>269</v>
      </c>
      <c r="C21" s="9">
        <v>0</v>
      </c>
      <c r="D21" s="14" t="s">
        <v>3</v>
      </c>
      <c r="E21" s="1"/>
      <c r="F21" s="1"/>
    </row>
    <row r="22" spans="1:6" x14ac:dyDescent="0.25">
      <c r="A22" s="1"/>
      <c r="B22" s="72" t="s">
        <v>270</v>
      </c>
      <c r="C22" s="9">
        <v>0</v>
      </c>
      <c r="D22" s="14" t="s">
        <v>3</v>
      </c>
      <c r="E22" s="1"/>
      <c r="F22" s="1"/>
    </row>
    <row r="23" spans="1:6" x14ac:dyDescent="0.25">
      <c r="A23" s="1"/>
      <c r="B23" s="28" t="s">
        <v>271</v>
      </c>
      <c r="C23" s="9">
        <v>0</v>
      </c>
      <c r="D23" s="14" t="s">
        <v>3</v>
      </c>
      <c r="E23" s="1"/>
      <c r="F23" s="1"/>
    </row>
    <row r="24" spans="1:6" x14ac:dyDescent="0.25">
      <c r="A24" s="1"/>
      <c r="B24" s="150"/>
      <c r="C24" s="151"/>
      <c r="D24" s="153"/>
      <c r="E24" s="1"/>
      <c r="F24" s="1"/>
    </row>
    <row r="25" spans="1:6" x14ac:dyDescent="0.25">
      <c r="A25" s="1"/>
      <c r="B25" s="1"/>
      <c r="C25" s="1"/>
      <c r="D25" s="1"/>
      <c r="E25" s="1"/>
      <c r="F25" s="1"/>
    </row>
    <row r="26" spans="1:6" x14ac:dyDescent="0.25">
      <c r="A26" s="1"/>
      <c r="B26" s="1"/>
      <c r="C26" s="1"/>
      <c r="D26" s="1"/>
      <c r="E26" s="1"/>
      <c r="F26" s="1"/>
    </row>
    <row r="27" spans="1:6" x14ac:dyDescent="0.25">
      <c r="A27" s="1"/>
      <c r="B27" s="150" t="s">
        <v>86</v>
      </c>
      <c r="C27" s="151"/>
      <c r="D27" s="153"/>
      <c r="E27" s="1"/>
      <c r="F27" s="1"/>
    </row>
    <row r="28" spans="1:6" x14ac:dyDescent="0.25">
      <c r="A28" s="1"/>
      <c r="B28" s="72" t="s">
        <v>268</v>
      </c>
      <c r="C28" s="9">
        <v>0</v>
      </c>
      <c r="D28" s="14" t="s">
        <v>3</v>
      </c>
      <c r="E28" s="1"/>
      <c r="F28" s="1"/>
    </row>
    <row r="29" spans="1:6" x14ac:dyDescent="0.25">
      <c r="A29" s="1"/>
      <c r="B29" s="72" t="s">
        <v>269</v>
      </c>
      <c r="C29" s="9">
        <v>0</v>
      </c>
      <c r="D29" s="14" t="s">
        <v>3</v>
      </c>
      <c r="E29" s="1"/>
      <c r="F29" s="1"/>
    </row>
    <row r="30" spans="1:6" x14ac:dyDescent="0.25">
      <c r="A30" s="1"/>
      <c r="B30" s="72" t="s">
        <v>270</v>
      </c>
      <c r="C30" s="9">
        <v>0</v>
      </c>
      <c r="D30" s="14" t="s">
        <v>3</v>
      </c>
      <c r="E30" s="1"/>
      <c r="F30" s="1"/>
    </row>
    <row r="31" spans="1:6" x14ac:dyDescent="0.25">
      <c r="A31" s="1"/>
      <c r="B31" s="28" t="s">
        <v>271</v>
      </c>
      <c r="C31" s="9">
        <v>0</v>
      </c>
      <c r="D31" s="14" t="s">
        <v>3</v>
      </c>
      <c r="E31" s="1"/>
      <c r="F31" s="1"/>
    </row>
    <row r="32" spans="1:6" x14ac:dyDescent="0.25">
      <c r="A32" s="1"/>
      <c r="B32" s="150"/>
      <c r="C32" s="151"/>
      <c r="D32" s="15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ebvRWmkfZ9Pv6AxDWESYS9raY2382uJGPmAtRyf0gy+acaL3gSiKZXf65FQG6GLcGdbLhb7oEX5bh/l62X/LzQ==" saltValue="2XRGAnCxLNDw6V4W7ljAg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213</v>
      </c>
      <c r="C3" s="140"/>
      <c r="D3" s="140"/>
      <c r="E3" s="140"/>
      <c r="F3" s="140"/>
      <c r="G3" s="1"/>
    </row>
    <row r="4" spans="1:7" ht="15" customHeight="1" x14ac:dyDescent="0.25">
      <c r="A4" s="1"/>
      <c r="B4" s="140"/>
      <c r="C4" s="140"/>
      <c r="D4" s="140"/>
      <c r="E4" s="140"/>
      <c r="F4" s="140"/>
      <c r="G4" s="1"/>
    </row>
    <row r="5" spans="1:7" ht="15" customHeight="1" x14ac:dyDescent="0.25">
      <c r="A5" s="1"/>
      <c r="B5" s="70"/>
      <c r="C5" s="70"/>
      <c r="D5" s="70"/>
      <c r="E5" s="70"/>
      <c r="F5" s="70"/>
      <c r="G5" s="1"/>
    </row>
    <row r="6" spans="1:7" ht="15" customHeight="1" x14ac:dyDescent="0.25">
      <c r="A6" s="1"/>
      <c r="B6" s="70"/>
      <c r="C6" s="70"/>
      <c r="D6" s="70"/>
      <c r="E6" s="70"/>
      <c r="F6" s="70"/>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7" t="s">
        <v>184</v>
      </c>
      <c r="C9" s="148"/>
      <c r="D9" s="149"/>
      <c r="E9" s="9">
        <v>-16548929.234935343</v>
      </c>
      <c r="F9" s="14" t="s">
        <v>3</v>
      </c>
      <c r="G9" s="1"/>
    </row>
    <row r="10" spans="1:7" x14ac:dyDescent="0.25">
      <c r="A10" s="1"/>
      <c r="B10" s="147" t="s">
        <v>185</v>
      </c>
      <c r="C10" s="148"/>
      <c r="D10" s="149"/>
      <c r="E10" s="9">
        <v>-6903472</v>
      </c>
      <c r="F10" s="14" t="s">
        <v>3</v>
      </c>
      <c r="G10" s="1"/>
    </row>
    <row r="11" spans="1:7" x14ac:dyDescent="0.25">
      <c r="A11" s="1"/>
      <c r="B11" s="147" t="s">
        <v>214</v>
      </c>
      <c r="C11" s="148"/>
      <c r="D11" s="149"/>
      <c r="E11" s="9">
        <v>7542951.2331333458</v>
      </c>
      <c r="F11" s="14" t="s">
        <v>3</v>
      </c>
      <c r="G11" s="1"/>
    </row>
    <row r="12" spans="1:7" x14ac:dyDescent="0.25">
      <c r="A12" s="1"/>
      <c r="B12" s="147" t="s">
        <v>272</v>
      </c>
      <c r="C12" s="148"/>
      <c r="D12" s="149"/>
      <c r="E12" s="9">
        <v>-15909450.001801997</v>
      </c>
      <c r="F12" s="14" t="s">
        <v>3</v>
      </c>
      <c r="G12" s="1"/>
    </row>
    <row r="13" spans="1:7" x14ac:dyDescent="0.25">
      <c r="A13" s="1"/>
      <c r="B13" s="32"/>
      <c r="C13" s="33"/>
      <c r="D13" s="33"/>
      <c r="E13" s="33"/>
      <c r="F13" s="20"/>
      <c r="G13" s="1"/>
    </row>
    <row r="14" spans="1:7" ht="75.75" customHeight="1" x14ac:dyDescent="0.25">
      <c r="A14" s="1"/>
      <c r="B14" s="122" t="s">
        <v>273</v>
      </c>
      <c r="C14" s="123"/>
      <c r="D14" s="123"/>
      <c r="E14" s="123"/>
      <c r="F14" s="12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7" t="s">
        <v>274</v>
      </c>
      <c r="C17" s="148"/>
      <c r="D17" s="149"/>
      <c r="E17" s="9">
        <v>-11674712.702683821</v>
      </c>
      <c r="F17" s="14" t="s">
        <v>3</v>
      </c>
      <c r="G17" s="1"/>
    </row>
    <row r="18" spans="1:7" x14ac:dyDescent="0.25">
      <c r="A18" s="1"/>
      <c r="B18" s="147" t="s">
        <v>187</v>
      </c>
      <c r="C18" s="148"/>
      <c r="D18" s="149"/>
      <c r="E18" s="9">
        <v>-11674712.702683821</v>
      </c>
      <c r="F18" s="14" t="s">
        <v>3</v>
      </c>
      <c r="G18" s="1"/>
    </row>
    <row r="19" spans="1:7" x14ac:dyDescent="0.25">
      <c r="A19" s="1"/>
      <c r="B19" s="32"/>
      <c r="C19" s="33"/>
      <c r="D19" s="33"/>
      <c r="E19" s="33"/>
      <c r="F19" s="20"/>
      <c r="G19" s="1"/>
    </row>
    <row r="20" spans="1:7" ht="31.5" customHeight="1" x14ac:dyDescent="0.25">
      <c r="A20" s="1"/>
      <c r="B20" s="122" t="s">
        <v>188</v>
      </c>
      <c r="C20" s="123"/>
      <c r="D20" s="123"/>
      <c r="E20" s="123"/>
      <c r="F20" s="124"/>
      <c r="G20" s="1"/>
    </row>
    <row r="21" spans="1:7" ht="26.25" customHeight="1" x14ac:dyDescent="0.25">
      <c r="A21" s="1"/>
      <c r="B21" s="1"/>
      <c r="C21" s="1"/>
      <c r="D21" s="1"/>
      <c r="E21" s="1"/>
      <c r="F21" s="1"/>
      <c r="G21" s="1"/>
    </row>
    <row r="22" spans="1:7" ht="28.5" customHeight="1" x14ac:dyDescent="0.25">
      <c r="A22" s="1"/>
      <c r="B22" s="76" t="s">
        <v>215</v>
      </c>
      <c r="C22" s="77"/>
      <c r="D22" s="77"/>
      <c r="E22" s="77"/>
      <c r="F22" s="78"/>
      <c r="G22" s="1"/>
    </row>
    <row r="23" spans="1:7" x14ac:dyDescent="0.25">
      <c r="A23" s="1"/>
      <c r="B23" s="73" t="s">
        <v>216</v>
      </c>
      <c r="C23" s="74"/>
      <c r="D23" s="75"/>
      <c r="E23" s="9">
        <v>163397352.20314074</v>
      </c>
      <c r="F23" s="14" t="s">
        <v>3</v>
      </c>
      <c r="G23" s="1"/>
    </row>
    <row r="24" spans="1:7" x14ac:dyDescent="0.25">
      <c r="A24" s="1"/>
      <c r="B24" s="73" t="s">
        <v>217</v>
      </c>
      <c r="C24" s="74"/>
      <c r="D24" s="75"/>
      <c r="E24" s="9">
        <v>156101031</v>
      </c>
      <c r="F24" s="14" t="s">
        <v>3</v>
      </c>
      <c r="G24" s="1"/>
    </row>
    <row r="25" spans="1:7" x14ac:dyDescent="0.25">
      <c r="A25" s="1"/>
      <c r="B25" s="73" t="s">
        <v>33</v>
      </c>
      <c r="C25" s="74"/>
      <c r="D25" s="75"/>
      <c r="E25" s="9">
        <v>0</v>
      </c>
      <c r="F25" s="14" t="s">
        <v>3</v>
      </c>
      <c r="G25" s="1"/>
    </row>
    <row r="26" spans="1:7" x14ac:dyDescent="0.25">
      <c r="A26" s="1"/>
      <c r="B26" s="66" t="s">
        <v>218</v>
      </c>
      <c r="C26" s="67"/>
      <c r="D26" s="68"/>
      <c r="E26" s="62">
        <f>E23-(E24-E25)</f>
        <v>7296321.2031407356</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34" t="s">
        <v>276</v>
      </c>
      <c r="C30" s="135"/>
      <c r="D30" s="136"/>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-4378391.4995430857</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mnvhc0wHXYR5sCti3c8trYzYrlOfCQedPfDizgvLfajJfCzyY/lZYsTX30uXDilcYpnlmmI5HMKk83710gYgqw==" saltValue="jHMBDhUCLQC/DoNLzBA5DQ==" spinCount="100000" sheet="1" objects="1" scenarios="1"/>
  <mergeCells count="19">
    <mergeCell ref="B34:D34"/>
    <mergeCell ref="B35:D35"/>
    <mergeCell ref="B36:D36"/>
    <mergeCell ref="B37:F37"/>
    <mergeCell ref="B14:F14"/>
    <mergeCell ref="B16:F16"/>
    <mergeCell ref="B18:D18"/>
    <mergeCell ref="B20:F20"/>
    <mergeCell ref="B31:F31"/>
    <mergeCell ref="B33:F33"/>
    <mergeCell ref="B17:D17"/>
    <mergeCell ref="B29:F29"/>
    <mergeCell ref="B30:D30"/>
    <mergeCell ref="B12:D12"/>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25" t="s">
        <v>254</v>
      </c>
      <c r="C9" s="126"/>
      <c r="D9" s="126"/>
      <c r="E9" s="126"/>
      <c r="F9" s="126"/>
      <c r="G9" s="126"/>
      <c r="H9" s="127"/>
      <c r="I9" s="1"/>
    </row>
    <row r="10" spans="1:9" x14ac:dyDescent="0.25">
      <c r="A10" s="1"/>
      <c r="B10" s="171" t="s">
        <v>285</v>
      </c>
      <c r="C10" s="172"/>
      <c r="D10" s="172"/>
      <c r="E10" s="172"/>
      <c r="F10" s="173"/>
      <c r="G10" s="44">
        <v>0</v>
      </c>
      <c r="H10" s="9" t="s">
        <v>3</v>
      </c>
      <c r="I10" s="1"/>
    </row>
    <row r="11" spans="1:9" x14ac:dyDescent="0.25">
      <c r="A11" s="1"/>
      <c r="B11" s="171" t="s">
        <v>286</v>
      </c>
      <c r="C11" s="172"/>
      <c r="D11" s="172"/>
      <c r="E11" s="172"/>
      <c r="F11" s="173"/>
      <c r="G11" s="44">
        <v>0</v>
      </c>
      <c r="H11" s="9" t="s">
        <v>3</v>
      </c>
      <c r="I11" s="1"/>
    </row>
    <row r="12" spans="1:9" x14ac:dyDescent="0.25">
      <c r="A12" s="1"/>
      <c r="B12" s="171" t="s">
        <v>287</v>
      </c>
      <c r="C12" s="172"/>
      <c r="D12" s="172"/>
      <c r="E12" s="172"/>
      <c r="F12" s="173"/>
      <c r="G12" s="9">
        <v>0</v>
      </c>
      <c r="H12" s="9" t="s">
        <v>3</v>
      </c>
      <c r="I12" s="1"/>
    </row>
    <row r="13" spans="1:9" x14ac:dyDescent="0.25">
      <c r="A13" s="1"/>
      <c r="B13" s="171" t="s">
        <v>288</v>
      </c>
      <c r="C13" s="172"/>
      <c r="D13" s="172"/>
      <c r="E13" s="172"/>
      <c r="F13" s="173"/>
      <c r="G13" s="9">
        <v>0</v>
      </c>
      <c r="H13" s="9" t="s">
        <v>3</v>
      </c>
      <c r="I13" s="1"/>
    </row>
    <row r="14" spans="1:9" x14ac:dyDescent="0.25">
      <c r="A14" s="1"/>
      <c r="B14" s="171" t="s">
        <v>289</v>
      </c>
      <c r="C14" s="172"/>
      <c r="D14" s="172"/>
      <c r="E14" s="172"/>
      <c r="F14" s="173"/>
      <c r="G14" s="9">
        <v>0</v>
      </c>
      <c r="H14" s="9" t="s">
        <v>3</v>
      </c>
      <c r="I14" s="1"/>
    </row>
    <row r="15" spans="1:9" x14ac:dyDescent="0.25">
      <c r="A15" s="1"/>
      <c r="B15" s="171" t="s">
        <v>290</v>
      </c>
      <c r="C15" s="172"/>
      <c r="D15" s="172"/>
      <c r="E15" s="172"/>
      <c r="F15" s="173"/>
      <c r="G15" s="9">
        <v>0</v>
      </c>
      <c r="H15" s="9" t="s">
        <v>3</v>
      </c>
      <c r="I15" s="1"/>
    </row>
    <row r="16" spans="1:9" x14ac:dyDescent="0.25">
      <c r="A16" s="1"/>
      <c r="B16" s="171" t="s">
        <v>291</v>
      </c>
      <c r="C16" s="172"/>
      <c r="D16" s="172"/>
      <c r="E16" s="172"/>
      <c r="F16" s="173"/>
      <c r="G16" s="9">
        <v>0</v>
      </c>
      <c r="H16" s="9" t="s">
        <v>3</v>
      </c>
      <c r="I16" s="1"/>
    </row>
    <row r="17" spans="1:9" x14ac:dyDescent="0.25">
      <c r="A17" s="1"/>
      <c r="B17" s="171" t="s">
        <v>292</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j2nE6hbfsaQ8FkCEPOnapwx15iiDGVMkNbKFm0pc4KVUJUpU4ZuHRDEQpu8KgBHLlM27Og0NN3D4FdCXrc5fCA==" saltValue="kpNDZfpA5NyNNsCL7dIam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256</v>
      </c>
      <c r="C3" s="140"/>
      <c r="D3" s="140"/>
      <c r="E3" s="140"/>
      <c r="F3" s="140"/>
      <c r="G3" s="1"/>
    </row>
    <row r="4" spans="1:7" ht="1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22" t="s">
        <v>87</v>
      </c>
      <c r="C10" s="123"/>
      <c r="D10" s="124"/>
      <c r="E10" s="7">
        <v>0</v>
      </c>
      <c r="F10" s="8" t="s">
        <v>3</v>
      </c>
      <c r="G10" s="1"/>
    </row>
    <row r="11" spans="1:7" x14ac:dyDescent="0.25">
      <c r="A11" s="1"/>
      <c r="B11" s="147" t="s">
        <v>220</v>
      </c>
      <c r="C11" s="148"/>
      <c r="D11" s="149"/>
      <c r="E11" s="7">
        <v>0</v>
      </c>
      <c r="F11" s="8" t="s">
        <v>3</v>
      </c>
      <c r="G11" s="1"/>
    </row>
    <row r="12" spans="1:7" x14ac:dyDescent="0.25">
      <c r="A12" s="1"/>
      <c r="B12" s="134" t="s">
        <v>88</v>
      </c>
      <c r="C12" s="135"/>
      <c r="D12" s="136"/>
      <c r="E12" s="10">
        <f>E11-E10</f>
        <v>0</v>
      </c>
      <c r="F12" s="11" t="s">
        <v>3</v>
      </c>
      <c r="G12" s="1"/>
    </row>
    <row r="13" spans="1:7" x14ac:dyDescent="0.25">
      <c r="A13" s="1"/>
      <c r="B13" s="174" t="s">
        <v>82</v>
      </c>
      <c r="C13" s="174"/>
      <c r="D13" s="174"/>
      <c r="E13" s="174"/>
      <c r="F13" s="174"/>
      <c r="G13" s="1"/>
    </row>
    <row r="14" spans="1:7" x14ac:dyDescent="0.25">
      <c r="A14" s="1"/>
      <c r="B14" s="147" t="s">
        <v>221</v>
      </c>
      <c r="C14" s="148"/>
      <c r="D14" s="149"/>
      <c r="E14" s="9">
        <v>0</v>
      </c>
      <c r="F14" s="8" t="s">
        <v>3</v>
      </c>
      <c r="G14" s="1"/>
    </row>
    <row r="15" spans="1:7" x14ac:dyDescent="0.25">
      <c r="A15" s="1"/>
      <c r="B15" s="122" t="s">
        <v>222</v>
      </c>
      <c r="C15" s="123"/>
      <c r="D15" s="124"/>
      <c r="E15" s="9">
        <v>0</v>
      </c>
      <c r="F15" s="8" t="s">
        <v>3</v>
      </c>
      <c r="G15" s="1"/>
    </row>
    <row r="16" spans="1:7" x14ac:dyDescent="0.25">
      <c r="A16" s="1"/>
      <c r="B16" s="134" t="s">
        <v>88</v>
      </c>
      <c r="C16" s="135"/>
      <c r="D16" s="136"/>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34NX9LL9GPVVEmYqpZsOqMH4t62eaJjnwJOmLlgNSriIsMhXSXntTtQrtDduBsmcuZoNCoi2uCQdpPZLtHL4Q==" saltValue="9x5NN0A6rLNquBJsTFepV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80" t="s">
        <v>283</v>
      </c>
      <c r="C10" s="38">
        <v>0</v>
      </c>
      <c r="D10" s="9">
        <v>0</v>
      </c>
      <c r="E10" s="14" t="s">
        <v>3</v>
      </c>
      <c r="F10" s="9">
        <f>IFERROR(D10/C10,0)</f>
        <v>0</v>
      </c>
      <c r="G10" s="14" t="s">
        <v>3</v>
      </c>
      <c r="H10" s="9">
        <v>0</v>
      </c>
      <c r="I10" s="14" t="s">
        <v>3</v>
      </c>
      <c r="J10" s="9"/>
      <c r="K10" s="14" t="s">
        <v>3</v>
      </c>
      <c r="L10" s="1"/>
    </row>
    <row r="11" spans="1:12" x14ac:dyDescent="0.25">
      <c r="A11" s="1"/>
      <c r="B11" s="150" t="s">
        <v>231</v>
      </c>
      <c r="C11" s="151"/>
      <c r="D11" s="151"/>
      <c r="E11" s="153"/>
      <c r="F11" s="12">
        <f>SUM(F10:F10)</f>
        <v>0</v>
      </c>
      <c r="G11" s="78" t="s">
        <v>249</v>
      </c>
      <c r="H11" s="12">
        <f>SUM(H10:H10)</f>
        <v>0</v>
      </c>
      <c r="I11" s="78"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qrQemaqQznLefx9KyTFM+BNFFTHRion8H9jZONIO379P/vBqZ8BhjtkLMRkWniXYjZfNMwDLcRmHdyvPAIaSFA==" saltValue="Ftf/q39fq2cyGMfb2GE+S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63" t="s">
        <v>17</v>
      </c>
      <c r="C9" s="63" t="s">
        <v>11</v>
      </c>
      <c r="D9" s="64"/>
      <c r="E9" s="63" t="s">
        <v>31</v>
      </c>
      <c r="F9" s="83"/>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293</v>
      </c>
      <c r="C11" s="22">
        <v>297589</v>
      </c>
      <c r="D11" s="14" t="s">
        <v>3</v>
      </c>
      <c r="E11" s="9">
        <v>269770</v>
      </c>
      <c r="F11" s="14" t="s">
        <v>3</v>
      </c>
      <c r="G11" s="1"/>
    </row>
    <row r="12" spans="1:7" x14ac:dyDescent="0.25">
      <c r="A12" s="1"/>
      <c r="B12" s="32" t="s">
        <v>144</v>
      </c>
      <c r="C12" s="12">
        <f>SUM(C10:C11)</f>
        <v>297589</v>
      </c>
      <c r="D12" s="13" t="s">
        <v>3</v>
      </c>
      <c r="E12" s="12">
        <f>SUM(E10:E11)</f>
        <v>269770</v>
      </c>
      <c r="F12" s="13" t="s">
        <v>3</v>
      </c>
      <c r="G12" s="1"/>
    </row>
    <row r="13" spans="1:7" x14ac:dyDescent="0.25">
      <c r="A13" s="1"/>
      <c r="B13" s="32" t="s">
        <v>224</v>
      </c>
      <c r="C13" s="12">
        <f>C12*(1+'Fane 15. Nøgletal'!C15)</f>
        <v>308183.16840000002</v>
      </c>
      <c r="D13" s="13" t="s">
        <v>3</v>
      </c>
      <c r="E13" s="12">
        <f>E12*(1+'Fane 15. Nøgletal'!C15)</f>
        <v>279373.81200000003</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Zwclp606acsiHGfv9mPMJglTccECifI3dvOkOQaM5Ou0Dy2IYhhffFLLulVigEpV4eYLXomaPTbOezDM/XUVw==" saltValue="rwoxsD320+RcpQnZgYm86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76" t="s">
        <v>85</v>
      </c>
      <c r="C7" s="77"/>
      <c r="D7" s="77"/>
      <c r="E7" s="77"/>
      <c r="F7" s="78"/>
      <c r="G7" s="1"/>
    </row>
    <row r="8" spans="1:7" x14ac:dyDescent="0.25">
      <c r="A8" s="1"/>
      <c r="B8" s="63" t="s">
        <v>17</v>
      </c>
      <c r="C8" s="63" t="s">
        <v>11</v>
      </c>
      <c r="D8" s="64"/>
      <c r="E8" s="63" t="s">
        <v>31</v>
      </c>
      <c r="F8" s="83"/>
      <c r="G8" s="1"/>
    </row>
    <row r="9" spans="1:7" x14ac:dyDescent="0.25">
      <c r="A9" s="1"/>
      <c r="B9" s="25" t="s">
        <v>294</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81"/>
      <c r="C13" s="81"/>
      <c r="D13" s="81"/>
      <c r="E13" s="81"/>
      <c r="F13" s="81"/>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Eq31w5p8Su6hFZrq8BaDLV9pa9kWL5ECn8iVpM+t/Iz9yzc29r0HMkSmuV6GhSYpBsW4b1bOum9b2XKdTXndnA==" saltValue="BFZ1NR9+1IEilIvVjcGOu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260</v>
      </c>
      <c r="C3" s="140"/>
      <c r="D3" s="140"/>
      <c r="E3" s="140"/>
      <c r="F3" s="140"/>
      <c r="G3" s="1"/>
    </row>
    <row r="4" spans="1:7" ht="15" customHeight="1" x14ac:dyDescent="0.25">
      <c r="A4" s="1"/>
      <c r="B4" s="140"/>
      <c r="C4" s="140"/>
      <c r="D4" s="140"/>
      <c r="E4" s="140"/>
      <c r="F4" s="140"/>
      <c r="G4" s="1"/>
    </row>
    <row r="5" spans="1:7" x14ac:dyDescent="0.25">
      <c r="A5" s="1"/>
      <c r="B5" s="140"/>
      <c r="C5" s="140"/>
      <c r="D5" s="140"/>
      <c r="E5" s="140"/>
      <c r="F5" s="14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37" t="s">
        <v>10</v>
      </c>
      <c r="C11" s="138"/>
      <c r="D11" s="139"/>
      <c r="E11" s="9">
        <f>-E10*'Fane 5. Individuelt eff. krav'!G9</f>
        <v>0</v>
      </c>
      <c r="F11" s="14" t="s">
        <v>3</v>
      </c>
      <c r="G11" s="1"/>
    </row>
    <row r="12" spans="1:7" x14ac:dyDescent="0.25">
      <c r="A12" s="1"/>
      <c r="B12" s="137" t="s">
        <v>25</v>
      </c>
      <c r="C12" s="138"/>
      <c r="D12" s="139"/>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37" t="s">
        <v>10</v>
      </c>
      <c r="C17" s="138"/>
      <c r="D17" s="139"/>
      <c r="E17" s="9">
        <f>-E16*'Fane 5. Individuelt eff. krav'!G9</f>
        <v>0</v>
      </c>
      <c r="F17" s="14" t="s">
        <v>3</v>
      </c>
      <c r="G17" s="1"/>
    </row>
    <row r="18" spans="1:7" x14ac:dyDescent="0.25">
      <c r="A18" s="1"/>
      <c r="B18" s="137" t="s">
        <v>25</v>
      </c>
      <c r="C18" s="138"/>
      <c r="D18" s="139"/>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37" t="s">
        <v>10</v>
      </c>
      <c r="C23" s="138"/>
      <c r="D23" s="139"/>
      <c r="E23" s="9">
        <f>-E22*'Fane 5. Individuelt eff. krav'!G9</f>
        <v>0</v>
      </c>
      <c r="F23" s="14" t="s">
        <v>3</v>
      </c>
      <c r="G23" s="1"/>
    </row>
    <row r="24" spans="1:7" x14ac:dyDescent="0.25">
      <c r="A24" s="1"/>
      <c r="B24" s="137" t="s">
        <v>25</v>
      </c>
      <c r="C24" s="138"/>
      <c r="D24" s="139"/>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37" t="s">
        <v>10</v>
      </c>
      <c r="C29" s="138"/>
      <c r="D29" s="139"/>
      <c r="E29" s="9">
        <f>-E28*'Fane 5. Individuelt eff. krav'!G9</f>
        <v>0</v>
      </c>
      <c r="F29" s="14" t="s">
        <v>3</v>
      </c>
      <c r="G29" s="1"/>
    </row>
    <row r="30" spans="1:7" x14ac:dyDescent="0.25">
      <c r="A30" s="1"/>
      <c r="B30" s="137" t="s">
        <v>25</v>
      </c>
      <c r="C30" s="138"/>
      <c r="D30" s="139"/>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PNwAYa98XZHXaMMAKa0PuokN+ckPJAUoLbU+/aHz0nr4LgCpz57UNFgL8nUBBhDNJNJpgQfIXsN8OZo/I+Y0gQ==" saltValue="3Wuzo+oTQG4pvcPzUm7cug=="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261</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82" t="s">
        <v>120</v>
      </c>
      <c r="C9" s="125" t="s">
        <v>11</v>
      </c>
      <c r="D9" s="127"/>
      <c r="E9" s="178" t="s">
        <v>31</v>
      </c>
      <c r="F9" s="179"/>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C4UFIqnYlcrPX0f6lrorZek3tYQT8PzIdz8Gy0BzieviLaicNHlTApD0mpzir/svDy/YVWuISq8VzwSvbLubA==" saltValue="NiX4eyhAuUzIifRRfKSpx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262</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82" t="s">
        <v>18</v>
      </c>
      <c r="C10" s="82" t="s">
        <v>11</v>
      </c>
      <c r="D10" s="83"/>
      <c r="E10" s="82" t="s">
        <v>31</v>
      </c>
      <c r="F10" s="83"/>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73BaBGaYhjuasdbti/enRcEw5jYk+GXi9XAC7I4dnbhyI58lQNwzA7FcMjbwEo47zPyZ9ZdqoDFj++RWGi6NQ==" saltValue="pMbDfhcHOKJCAT5JNZ/R/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1" t="s">
        <v>93</v>
      </c>
      <c r="C9" s="7">
        <f>'Fane 3. Omkostninger i ØR2022'!E20</f>
        <v>157763758.10853863</v>
      </c>
      <c r="D9" s="8" t="s">
        <v>3</v>
      </c>
      <c r="E9" s="1"/>
    </row>
    <row r="10" spans="1:5" x14ac:dyDescent="0.25">
      <c r="A10" s="1"/>
      <c r="B10" s="65" t="s">
        <v>236</v>
      </c>
      <c r="C10" s="7">
        <f>('Fane 3. Omkostninger i ØR2022'!E10+'Fane 3. Omkostninger i ØR2022'!E14)*(1+'Fane 15. Nøgletal'!C14)*(1-'Fane 15. Nøgletal'!C31-'Fane 5. Individuelt eff. krav'!G9)</f>
        <v>1133227.6053455186</v>
      </c>
      <c r="D10" s="8" t="s">
        <v>3</v>
      </c>
      <c r="E10" s="1"/>
    </row>
    <row r="11" spans="1:5" x14ac:dyDescent="0.25">
      <c r="A11" s="1"/>
      <c r="B11" s="65" t="s">
        <v>237</v>
      </c>
      <c r="C11" s="7">
        <f>('Fane 3. Omkostninger i ØR2022'!E11+'Fane 3. Omkostninger i ØR2022'!E15)*(1+'Fane 15. Nøgletal'!C14)*(1-'Fane 15. Nøgletal'!C25-'Fane 5. Individuelt eff. krav'!G9)</f>
        <v>1216549.5994955385</v>
      </c>
      <c r="D11" s="8" t="s">
        <v>3</v>
      </c>
      <c r="E11" s="1"/>
    </row>
    <row r="12" spans="1:5" ht="17.25" customHeight="1" x14ac:dyDescent="0.25">
      <c r="A12" s="1"/>
      <c r="B12" s="69" t="s">
        <v>39</v>
      </c>
      <c r="C12" s="40">
        <f>'Fane 11.1. Varige tillæg'!C13</f>
        <v>308183.16840000002</v>
      </c>
      <c r="D12" s="8" t="s">
        <v>3</v>
      </c>
      <c r="E12" s="1"/>
    </row>
    <row r="13" spans="1:5" ht="17.25" customHeight="1" x14ac:dyDescent="0.25">
      <c r="A13" s="1"/>
      <c r="B13" s="69" t="s">
        <v>40</v>
      </c>
      <c r="C13" s="40">
        <f>'Fane 11.1. Varige tillæg'!E13</f>
        <v>279373.81200000003</v>
      </c>
      <c r="D13" s="8" t="s">
        <v>3</v>
      </c>
      <c r="E13" s="1"/>
    </row>
    <row r="14" spans="1:5" ht="17.25" customHeight="1" x14ac:dyDescent="0.25">
      <c r="A14" s="1"/>
      <c r="B14" s="69" t="s">
        <v>28</v>
      </c>
      <c r="C14" s="9">
        <f>-'Fane 14. Bortfald'!C13</f>
        <v>0</v>
      </c>
      <c r="D14" s="8" t="s">
        <v>3</v>
      </c>
      <c r="E14" s="1"/>
    </row>
    <row r="15" spans="1:5" ht="17.25" customHeight="1" x14ac:dyDescent="0.25">
      <c r="A15" s="1"/>
      <c r="B15" s="69" t="s">
        <v>27</v>
      </c>
      <c r="C15" s="9">
        <f>-'Fane 14. Bortfald'!E13</f>
        <v>0</v>
      </c>
      <c r="D15" s="8" t="s">
        <v>3</v>
      </c>
      <c r="E15" s="1"/>
    </row>
    <row r="16" spans="1:5" ht="17.25" customHeight="1" x14ac:dyDescent="0.25">
      <c r="A16" s="1"/>
      <c r="B16" s="69" t="s">
        <v>113</v>
      </c>
      <c r="C16" s="9">
        <f>'Fane 13. Tilknyttet virksomhed'!C12</f>
        <v>0</v>
      </c>
      <c r="D16" s="8" t="s">
        <v>3</v>
      </c>
      <c r="E16" s="1"/>
    </row>
    <row r="17" spans="1:5" ht="17.25" customHeight="1" x14ac:dyDescent="0.25">
      <c r="A17" s="1"/>
      <c r="B17" s="69" t="s">
        <v>114</v>
      </c>
      <c r="C17" s="9">
        <f>'Fane 13. Tilknyttet virksomhed'!E12</f>
        <v>0</v>
      </c>
      <c r="D17" s="8" t="s">
        <v>3</v>
      </c>
      <c r="E17" s="1"/>
    </row>
    <row r="18" spans="1:5" ht="17.25" customHeight="1" x14ac:dyDescent="0.25">
      <c r="A18" s="1"/>
      <c r="B18" s="69" t="s">
        <v>19</v>
      </c>
      <c r="C18" s="9">
        <f>SUM(C9)*'Fane 15. Nøgletal'!C14+SUM(C12:C17)*'Fane 15. Nøgletal'!C15</f>
        <v>541537.43026041752</v>
      </c>
      <c r="D18" s="8" t="s">
        <v>3</v>
      </c>
      <c r="E18" s="1"/>
    </row>
    <row r="19" spans="1:5" ht="17.25" customHeight="1" x14ac:dyDescent="0.25">
      <c r="A19" s="1"/>
      <c r="B19" s="69" t="s">
        <v>10</v>
      </c>
      <c r="C19" s="9">
        <f>-SUM(C9,C12:C18)*'Fane 5. Individuelt eff. krav'!G9</f>
        <v>-2739567.6420632978</v>
      </c>
      <c r="D19" s="8" t="s">
        <v>3</v>
      </c>
      <c r="E19" s="1"/>
    </row>
    <row r="20" spans="1:5" ht="17.25" customHeight="1" x14ac:dyDescent="0.25">
      <c r="A20" s="1"/>
      <c r="B20" s="69" t="s">
        <v>25</v>
      </c>
      <c r="C20" s="9">
        <f>-'Fane 4.1. Gen. krav - drift'!G48</f>
        <v>-1167737.9206285158</v>
      </c>
      <c r="D20" s="8" t="s">
        <v>3</v>
      </c>
      <c r="E20" s="42"/>
    </row>
    <row r="21" spans="1:5" ht="15" customHeight="1" x14ac:dyDescent="0.25">
      <c r="A21" s="1"/>
      <c r="B21" s="69" t="s">
        <v>26</v>
      </c>
      <c r="C21" s="9">
        <f>-'Fane 4.2. Gen. krav - anlæg'!G47</f>
        <v>-1533976.0779026547</v>
      </c>
      <c r="D21" s="8" t="s">
        <v>3</v>
      </c>
      <c r="E21" s="1"/>
    </row>
    <row r="22" spans="1:5" ht="15" customHeight="1" x14ac:dyDescent="0.25">
      <c r="A22" s="1"/>
      <c r="B22" s="66" t="s">
        <v>21</v>
      </c>
      <c r="C22" s="10">
        <f>SUM(C9,C12:C21)</f>
        <v>153451570.87860459</v>
      </c>
      <c r="D22" s="11" t="s">
        <v>3</v>
      </c>
      <c r="E22" s="1"/>
    </row>
    <row r="23" spans="1:5" ht="15" customHeight="1" x14ac:dyDescent="0.25">
      <c r="A23" s="1"/>
      <c r="B23" s="32" t="s">
        <v>12</v>
      </c>
      <c r="C23" s="33"/>
      <c r="D23" s="20"/>
      <c r="E23" s="1"/>
    </row>
    <row r="24" spans="1:5" ht="15" customHeight="1" x14ac:dyDescent="0.25">
      <c r="A24" s="1"/>
      <c r="B24" s="82" t="s">
        <v>12</v>
      </c>
      <c r="C24" s="10">
        <f>'Fane 6. Ikke-påvirkelige omk.'!C16+'Fane 6. Ikke-påvirkelige omk.'!C20+'Fane 6. Ikke-påvirkelige omk.'!C28</f>
        <v>3803432.5644595204</v>
      </c>
      <c r="D24" s="11" t="s">
        <v>3</v>
      </c>
      <c r="E24" s="1"/>
    </row>
    <row r="25" spans="1:5" ht="15" customHeight="1" x14ac:dyDescent="0.25">
      <c r="A25" s="1"/>
      <c r="B25" s="32" t="s">
        <v>74</v>
      </c>
      <c r="C25" s="33"/>
      <c r="D25" s="20"/>
      <c r="E25" s="1"/>
    </row>
    <row r="26" spans="1:5" ht="15" customHeight="1" x14ac:dyDescent="0.25">
      <c r="A26" s="1"/>
      <c r="B26" s="66" t="s">
        <v>74</v>
      </c>
      <c r="C26" s="10">
        <f>'Fane 12. Periodevise driftsomk.'!E13</f>
        <v>0</v>
      </c>
      <c r="D26" s="11" t="s">
        <v>3</v>
      </c>
      <c r="E26" s="1"/>
    </row>
    <row r="27" spans="1:5" ht="15" customHeight="1" x14ac:dyDescent="0.25">
      <c r="A27" s="1"/>
      <c r="B27" s="32" t="s">
        <v>73</v>
      </c>
      <c r="C27" s="33"/>
      <c r="D27" s="20"/>
      <c r="E27" s="1"/>
    </row>
    <row r="28" spans="1:5" x14ac:dyDescent="0.25">
      <c r="A28" s="1"/>
      <c r="B28" s="69" t="s">
        <v>69</v>
      </c>
      <c r="C28" s="9">
        <f>'Fane 11.2. Engangstillæg'!C11</f>
        <v>0</v>
      </c>
      <c r="D28" s="8" t="s">
        <v>3</v>
      </c>
      <c r="E28" s="1"/>
    </row>
    <row r="29" spans="1:5" ht="15" customHeight="1" x14ac:dyDescent="0.25">
      <c r="A29" s="1"/>
      <c r="B29" s="69" t="s">
        <v>70</v>
      </c>
      <c r="C29" s="9">
        <f>'Fane 11.2. Engangstillæg'!E11</f>
        <v>0</v>
      </c>
      <c r="D29" s="8" t="s">
        <v>3</v>
      </c>
      <c r="E29" s="1"/>
    </row>
    <row r="30" spans="1:5" ht="15" customHeight="1" x14ac:dyDescent="0.25">
      <c r="A30" s="1"/>
      <c r="B30" s="69"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66" t="s">
        <v>75</v>
      </c>
      <c r="C32" s="10">
        <f>SUM(C28:C31)</f>
        <v>0</v>
      </c>
      <c r="D32" s="11" t="s">
        <v>3</v>
      </c>
      <c r="E32" s="1"/>
    </row>
    <row r="33" spans="1:5" x14ac:dyDescent="0.25">
      <c r="A33" s="1"/>
      <c r="B33" s="32" t="s">
        <v>194</v>
      </c>
      <c r="C33" s="33"/>
      <c r="D33" s="20"/>
      <c r="E33" s="1"/>
    </row>
    <row r="34" spans="1:5" x14ac:dyDescent="0.25">
      <c r="A34" s="1"/>
      <c r="B34" s="82" t="s">
        <v>194</v>
      </c>
      <c r="C34" s="10">
        <f>'Fane 9. Korrektion af ØR2021'!E17</f>
        <v>0</v>
      </c>
      <c r="D34" s="11" t="s">
        <v>3</v>
      </c>
      <c r="E34" s="1"/>
    </row>
    <row r="35" spans="1:5" x14ac:dyDescent="0.25">
      <c r="A35" s="1"/>
      <c r="B35" s="32" t="s">
        <v>131</v>
      </c>
      <c r="C35" s="33"/>
      <c r="D35" s="20"/>
      <c r="E35" s="1"/>
    </row>
    <row r="36" spans="1:5" x14ac:dyDescent="0.25">
      <c r="A36" s="1"/>
      <c r="B36" s="82" t="s">
        <v>190</v>
      </c>
      <c r="C36" s="10">
        <f>'Fane 7. Kontrol af ØR2021'!E30</f>
        <v>-4378391.4995430857</v>
      </c>
      <c r="D36" s="11" t="s">
        <v>3</v>
      </c>
      <c r="E36" s="1"/>
    </row>
    <row r="37" spans="1:5" ht="26.25" customHeight="1" x14ac:dyDescent="0.25">
      <c r="A37" s="1"/>
      <c r="B37" s="118" t="s">
        <v>178</v>
      </c>
      <c r="C37" s="119"/>
      <c r="D37" s="120"/>
      <c r="E37" s="1"/>
    </row>
    <row r="38" spans="1:5" x14ac:dyDescent="0.25">
      <c r="A38" s="1"/>
      <c r="B38" s="79" t="s">
        <v>179</v>
      </c>
      <c r="C38" s="10">
        <f>'Fane 8. Skattesagen'!G12</f>
        <v>0</v>
      </c>
      <c r="D38" s="11" t="s">
        <v>3</v>
      </c>
      <c r="E38" s="1"/>
    </row>
    <row r="39" spans="1:5" x14ac:dyDescent="0.25">
      <c r="A39" s="1"/>
      <c r="B39" s="32" t="s">
        <v>78</v>
      </c>
      <c r="C39" s="12">
        <f>SUM(C22,C24,C26,C32,C34,C36,C38)</f>
        <v>152876611.94352102</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3"/>
      <c r="B48" s="43"/>
      <c r="C48" s="43"/>
      <c r="D48" s="43"/>
      <c r="E48" s="43"/>
    </row>
    <row r="49" spans="1:4" x14ac:dyDescent="0.25">
      <c r="A49" s="43"/>
      <c r="B49" s="43"/>
      <c r="C49" s="43"/>
      <c r="D49" s="43"/>
    </row>
  </sheetData>
  <sheetProtection algorithmName="SHA-512" hashValue="TpOCz6z7utzmdev5HWw05bbvtY1DfoC/7tSzQfh0WliRuCjcfsNadQufEB7AJFZU2cyeaRG+cczY4FsHQm3Wtg==" saltValue="jx0zzaozZV2p2QCjfg4LhQ=="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40" t="s">
        <v>263</v>
      </c>
      <c r="C3" s="140"/>
      <c r="D3" s="1"/>
    </row>
    <row r="4" spans="1:4" ht="25.5" customHeight="1" x14ac:dyDescent="0.25">
      <c r="A4" s="1"/>
      <c r="B4" s="140"/>
      <c r="C4" s="14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72" t="s">
        <v>180</v>
      </c>
      <c r="C9" s="26">
        <v>1.2699999999999999E-2</v>
      </c>
      <c r="D9" s="1"/>
    </row>
    <row r="10" spans="1:4" x14ac:dyDescent="0.25">
      <c r="A10" s="1"/>
      <c r="B10" s="72" t="s">
        <v>100</v>
      </c>
      <c r="C10" s="26">
        <v>1.7500000000000002E-2</v>
      </c>
      <c r="D10" s="1"/>
    </row>
    <row r="11" spans="1:4" x14ac:dyDescent="0.25">
      <c r="A11" s="1"/>
      <c r="B11" s="7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72" t="s">
        <v>181</v>
      </c>
      <c r="C20" s="23">
        <v>9.1000000000000004E-3</v>
      </c>
      <c r="D20" s="1"/>
    </row>
    <row r="21" spans="1:4" x14ac:dyDescent="0.25">
      <c r="A21" s="1"/>
      <c r="B21" s="72" t="s">
        <v>102</v>
      </c>
      <c r="C21" s="23">
        <v>1.77E-2</v>
      </c>
      <c r="D21" s="1"/>
    </row>
    <row r="22" spans="1:4" x14ac:dyDescent="0.25">
      <c r="A22" s="1"/>
      <c r="B22" s="72" t="s">
        <v>101</v>
      </c>
      <c r="C22" s="23">
        <v>8.6999999999999994E-3</v>
      </c>
      <c r="D22" s="1"/>
    </row>
    <row r="23" spans="1:4" x14ac:dyDescent="0.25">
      <c r="A23" s="1"/>
      <c r="B23" s="72" t="s">
        <v>103</v>
      </c>
      <c r="C23" s="23">
        <v>2.8400000000000002E-2</v>
      </c>
      <c r="D23" s="1"/>
    </row>
    <row r="24" spans="1:4" x14ac:dyDescent="0.25">
      <c r="A24" s="1"/>
      <c r="B24" s="72" t="s">
        <v>122</v>
      </c>
      <c r="C24" s="30">
        <v>2.75E-2</v>
      </c>
      <c r="D24" s="1"/>
    </row>
    <row r="25" spans="1:4" x14ac:dyDescent="0.25">
      <c r="A25" s="1"/>
      <c r="B25" s="72" t="s">
        <v>149</v>
      </c>
      <c r="C25" s="30">
        <v>1.4800000000000001E-2</v>
      </c>
      <c r="D25" s="1"/>
    </row>
    <row r="26" spans="1:4" x14ac:dyDescent="0.25">
      <c r="A26" s="1"/>
      <c r="B26" s="7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7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0zFUKWPOcDXW0570sa2gS/mpNUA9WPsC4yCqRXPqEqn4a7zDiMh6gMpN/pgAN54/MM2e8kUQIVINluWR57I31Q==" saltValue="1U21v17ohRB/4dWaqdOen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1" t="s">
        <v>115</v>
      </c>
      <c r="C9" s="7">
        <f>'Fane 2.1. Økonomisk ramme 2023'!C22</f>
        <v>153451570.87860459</v>
      </c>
      <c r="D9" s="8" t="s">
        <v>3</v>
      </c>
      <c r="E9" s="1"/>
    </row>
    <row r="10" spans="1:5" ht="15" customHeight="1" x14ac:dyDescent="0.25">
      <c r="A10" s="1"/>
      <c r="B10" s="65" t="s">
        <v>19</v>
      </c>
      <c r="C10" s="7">
        <f>SUM(C9:C9)*'Fane 15. Nøgletal'!C15</f>
        <v>5462875.9232783234</v>
      </c>
      <c r="D10" s="8" t="s">
        <v>3</v>
      </c>
      <c r="E10" s="1"/>
    </row>
    <row r="11" spans="1:5" ht="15" customHeight="1" x14ac:dyDescent="0.25">
      <c r="A11" s="1"/>
      <c r="B11" s="65" t="s">
        <v>10</v>
      </c>
      <c r="C11" s="9">
        <f>-SUM(C9:C10)*'Fane 5. Individuelt eff. krav'!G9</f>
        <v>-2739939.9621340651</v>
      </c>
      <c r="D11" s="8" t="s">
        <v>3</v>
      </c>
      <c r="E11" s="1"/>
    </row>
    <row r="12" spans="1:5" ht="15" customHeight="1" x14ac:dyDescent="0.25">
      <c r="A12" s="1"/>
      <c r="B12" s="65" t="s">
        <v>25</v>
      </c>
      <c r="C12" s="9">
        <f>-'Fane 4.1. Gen. krav - drift'!G54</f>
        <v>-1185123.2027908331</v>
      </c>
      <c r="D12" s="8" t="s">
        <v>3</v>
      </c>
      <c r="E12" s="1"/>
    </row>
    <row r="13" spans="1:5" ht="15" customHeight="1" x14ac:dyDescent="0.25">
      <c r="A13" s="1"/>
      <c r="B13" s="65" t="s">
        <v>26</v>
      </c>
      <c r="C13" s="9">
        <f>-'Fane 4.2. Gen. krav - anlæg'!G52</f>
        <v>0</v>
      </c>
      <c r="D13" s="8" t="s">
        <v>3</v>
      </c>
      <c r="E13" s="1"/>
    </row>
    <row r="14" spans="1:5" ht="15" customHeight="1" x14ac:dyDescent="0.25">
      <c r="A14" s="1"/>
      <c r="B14" s="35" t="s">
        <v>21</v>
      </c>
      <c r="C14" s="10">
        <f>SUM(C9:C13)</f>
        <v>154989383.63695803</v>
      </c>
      <c r="D14" s="11" t="s">
        <v>3</v>
      </c>
      <c r="E14" s="1"/>
    </row>
    <row r="15" spans="1:5" ht="15" customHeight="1" x14ac:dyDescent="0.25">
      <c r="A15" s="1"/>
      <c r="B15" s="32" t="s">
        <v>12</v>
      </c>
      <c r="C15" s="33"/>
      <c r="D15" s="20"/>
      <c r="E15" s="1"/>
    </row>
    <row r="16" spans="1:5" ht="15" customHeight="1" x14ac:dyDescent="0.25">
      <c r="A16" s="1"/>
      <c r="B16" s="82" t="s">
        <v>12</v>
      </c>
      <c r="C16" s="10">
        <f>'Fane 6. Ikke-påvirkelige omk.'!C16*(1+'Fane 15. Nøgletal'!C15)+'Fane 6. Ikke-påvirkelige omk.'!C21+'Fane 6. Ikke-påvirkelige omk.'!C29</f>
        <v>3938834.7637542798</v>
      </c>
      <c r="D16" s="11" t="s">
        <v>3</v>
      </c>
      <c r="E16" s="1"/>
    </row>
    <row r="17" spans="1:5" ht="15" customHeight="1" x14ac:dyDescent="0.25">
      <c r="A17" s="1"/>
      <c r="B17" s="32" t="s">
        <v>74</v>
      </c>
      <c r="C17" s="33"/>
      <c r="D17" s="20"/>
      <c r="E17" s="1"/>
    </row>
    <row r="18" spans="1:5" ht="15" customHeight="1" x14ac:dyDescent="0.25">
      <c r="A18" s="1"/>
      <c r="B18" s="66"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82" t="s">
        <v>190</v>
      </c>
      <c r="C20" s="10">
        <f>'Fane 7. Kontrol af ØR2021'!E36</f>
        <v>0</v>
      </c>
      <c r="D20" s="11" t="s">
        <v>3</v>
      </c>
      <c r="E20" s="1"/>
    </row>
    <row r="21" spans="1:5" x14ac:dyDescent="0.25">
      <c r="A21" s="1"/>
      <c r="B21" s="34" t="s">
        <v>178</v>
      </c>
      <c r="C21" s="33"/>
      <c r="D21" s="20"/>
      <c r="E21" s="1"/>
    </row>
    <row r="22" spans="1:5" x14ac:dyDescent="0.25">
      <c r="A22" s="1"/>
      <c r="B22" s="79" t="s">
        <v>179</v>
      </c>
      <c r="C22" s="10">
        <f>'Fane 8. Skattesagen'!G13</f>
        <v>0</v>
      </c>
      <c r="D22" s="11" t="s">
        <v>3</v>
      </c>
      <c r="E22" s="1"/>
    </row>
    <row r="23" spans="1:5" ht="15" customHeight="1" x14ac:dyDescent="0.25">
      <c r="A23" s="1"/>
      <c r="B23" s="32" t="s">
        <v>116</v>
      </c>
      <c r="C23" s="12">
        <f>SUM(C14,C16,C18,C20,C22)</f>
        <v>158928218.40071231</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5bddBVpS3hLFBCdoYVONgr142Vq19ts6vikWhdJqVEw1YWgR1TXORD7jgD8t/6Uh7AZpIZssKEeilrgXSnzp+g==" saltValue="3e4jfGoMQIGWl1Yc4Mz/8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1" t="s">
        <v>137</v>
      </c>
      <c r="C8" s="7">
        <f>'Fane 2.2. Økonomisk ramme 2024'!C14</f>
        <v>154989383.63695803</v>
      </c>
      <c r="D8" s="8" t="s">
        <v>3</v>
      </c>
      <c r="E8" s="1"/>
    </row>
    <row r="9" spans="1:5" ht="15" customHeight="1" x14ac:dyDescent="0.25">
      <c r="A9" s="1"/>
      <c r="B9" s="65" t="s">
        <v>19</v>
      </c>
      <c r="C9" s="44">
        <f>SUM(C8:C8)*'Fane 15. Nøgletal'!C15</f>
        <v>5517622.0574757056</v>
      </c>
      <c r="D9" s="8" t="s">
        <v>3</v>
      </c>
      <c r="E9" s="1"/>
    </row>
    <row r="10" spans="1:5" ht="15" customHeight="1" x14ac:dyDescent="0.25">
      <c r="A10" s="1"/>
      <c r="B10" s="65" t="s">
        <v>10</v>
      </c>
      <c r="C10" s="9">
        <f>-SUM(C8:C9)*'Fane 5. Individuelt eff. krav'!G9</f>
        <v>-2767398.2319110846</v>
      </c>
      <c r="D10" s="8" t="s">
        <v>3</v>
      </c>
      <c r="E10" s="1"/>
    </row>
    <row r="11" spans="1:5" ht="15" customHeight="1" x14ac:dyDescent="0.25">
      <c r="A11" s="1"/>
      <c r="B11" s="65" t="s">
        <v>25</v>
      </c>
      <c r="C11" s="9">
        <f>-'Fane 4.1. Gen. krav - drift'!G59</f>
        <v>-1202767.3170339833</v>
      </c>
      <c r="D11" s="8" t="s">
        <v>3</v>
      </c>
      <c r="E11" s="1"/>
    </row>
    <row r="12" spans="1:5" ht="15" customHeight="1" x14ac:dyDescent="0.25">
      <c r="A12" s="1"/>
      <c r="B12" s="65" t="s">
        <v>26</v>
      </c>
      <c r="C12" s="9">
        <f>-'Fane 4.2. Gen. krav - anlæg'!G57</f>
        <v>0</v>
      </c>
      <c r="D12" s="8" t="s">
        <v>3</v>
      </c>
      <c r="E12" s="1"/>
    </row>
    <row r="13" spans="1:5" ht="15.75" customHeight="1" x14ac:dyDescent="0.25">
      <c r="A13" s="1"/>
      <c r="B13" s="35" t="s">
        <v>21</v>
      </c>
      <c r="C13" s="10">
        <f>SUM(C8:C12)</f>
        <v>156536840.14548868</v>
      </c>
      <c r="D13" s="11" t="s">
        <v>3</v>
      </c>
      <c r="E13" s="1"/>
    </row>
    <row r="14" spans="1:5" x14ac:dyDescent="0.25">
      <c r="A14" s="1"/>
      <c r="B14" s="32" t="s">
        <v>12</v>
      </c>
      <c r="C14" s="33"/>
      <c r="D14" s="20"/>
      <c r="E14" s="1"/>
    </row>
    <row r="15" spans="1:5" ht="15" customHeight="1" x14ac:dyDescent="0.25">
      <c r="A15" s="1"/>
      <c r="B15" s="82" t="s">
        <v>12</v>
      </c>
      <c r="C15" s="10">
        <f>'Fane 6. Ikke-påvirkelige omk.'!C16*(1+'Fane 15. Nøgletal'!C15)^2+'Fane 6. Ikke-påvirkelige omk.'!C22+'Fane 6. Ikke-påvirkelige omk.'!C30</f>
        <v>4079057.2813439318</v>
      </c>
      <c r="D15" s="11" t="s">
        <v>3</v>
      </c>
      <c r="E15" s="1"/>
    </row>
    <row r="16" spans="1:5" ht="15" customHeight="1" x14ac:dyDescent="0.25">
      <c r="A16" s="1"/>
      <c r="B16" s="32" t="s">
        <v>74</v>
      </c>
      <c r="C16" s="33"/>
      <c r="D16" s="20"/>
      <c r="E16" s="1"/>
    </row>
    <row r="17" spans="1:5" ht="15" customHeight="1" x14ac:dyDescent="0.25">
      <c r="A17" s="1"/>
      <c r="B17" s="66"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82" t="s">
        <v>190</v>
      </c>
      <c r="C19" s="10">
        <f>'Fane 7. Kontrol af ØR2021'!E36</f>
        <v>0</v>
      </c>
      <c r="D19" s="11" t="s">
        <v>3</v>
      </c>
      <c r="E19" s="1"/>
    </row>
    <row r="20" spans="1:5" x14ac:dyDescent="0.25">
      <c r="A20" s="1"/>
      <c r="B20" s="34" t="s">
        <v>178</v>
      </c>
      <c r="C20" s="33"/>
      <c r="D20" s="20"/>
      <c r="E20" s="1"/>
    </row>
    <row r="21" spans="1:5" x14ac:dyDescent="0.25">
      <c r="A21" s="1"/>
      <c r="B21" s="79" t="s">
        <v>179</v>
      </c>
      <c r="C21" s="10">
        <f>'Fane 8. Skattesagen'!G14</f>
        <v>0</v>
      </c>
      <c r="D21" s="11" t="s">
        <v>3</v>
      </c>
      <c r="E21" s="1"/>
    </row>
    <row r="22" spans="1:5" x14ac:dyDescent="0.25">
      <c r="A22" s="1"/>
      <c r="B22" s="32" t="s">
        <v>138</v>
      </c>
      <c r="C22" s="12">
        <f>SUM(C13,C15,C17,C19,C21)</f>
        <v>160615897.42683262</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bu15JltBnOxGGj3gAAMwf8QZi/JnYgg8olp/mUP4nWdKs+ic6hZeOHuKpptJd/T/P6uFdFilQlkxKjPskFDopw==" saltValue="psHtxD2TzHoJSrZptL3A4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1" t="s">
        <v>199</v>
      </c>
      <c r="C8" s="7">
        <f>'Fane 2.3. Økonomisk ramme 2025'!C13</f>
        <v>156536840.14548868</v>
      </c>
      <c r="D8" s="8" t="s">
        <v>3</v>
      </c>
      <c r="E8" s="1"/>
    </row>
    <row r="9" spans="1:5" ht="15" customHeight="1" x14ac:dyDescent="0.25">
      <c r="A9" s="1"/>
      <c r="B9" s="65" t="s">
        <v>19</v>
      </c>
      <c r="C9" s="44">
        <f>SUM(C8:C8)*'Fane 15. Nøgletal'!C15</f>
        <v>5572711.5091793966</v>
      </c>
      <c r="D9" s="8" t="s">
        <v>3</v>
      </c>
      <c r="E9" s="1"/>
    </row>
    <row r="10" spans="1:5" ht="15" customHeight="1" x14ac:dyDescent="0.25">
      <c r="A10" s="1"/>
      <c r="B10" s="65" t="s">
        <v>10</v>
      </c>
      <c r="C10" s="9">
        <f>-SUM(C8:C9)*'Fane 5. Individuelt eff. krav'!G9</f>
        <v>-2795028.6947542559</v>
      </c>
      <c r="D10" s="8" t="s">
        <v>3</v>
      </c>
      <c r="E10" s="1"/>
    </row>
    <row r="11" spans="1:5" ht="15" customHeight="1" x14ac:dyDescent="0.25">
      <c r="A11" s="1"/>
      <c r="B11" s="65" t="s">
        <v>25</v>
      </c>
      <c r="C11" s="9">
        <f>-'Fane 4.1. Gen. krav - drift'!G64</f>
        <v>-1220674.1168499852</v>
      </c>
      <c r="D11" s="8" t="s">
        <v>3</v>
      </c>
      <c r="E11" s="1"/>
    </row>
    <row r="12" spans="1:5" ht="15" customHeight="1" x14ac:dyDescent="0.25">
      <c r="A12" s="1"/>
      <c r="B12" s="65" t="s">
        <v>26</v>
      </c>
      <c r="C12" s="9">
        <f>-'Fane 4.2. Gen. krav - anlæg'!G62</f>
        <v>0</v>
      </c>
      <c r="D12" s="8" t="s">
        <v>3</v>
      </c>
      <c r="E12" s="1"/>
    </row>
    <row r="13" spans="1:5" ht="15.75" customHeight="1" x14ac:dyDescent="0.25">
      <c r="A13" s="1"/>
      <c r="B13" s="35" t="s">
        <v>21</v>
      </c>
      <c r="C13" s="10">
        <f>SUM(C8:C12)</f>
        <v>158093848.84306383</v>
      </c>
      <c r="D13" s="11" t="s">
        <v>3</v>
      </c>
      <c r="E13" s="1"/>
    </row>
    <row r="14" spans="1:5" x14ac:dyDescent="0.25">
      <c r="A14" s="1"/>
      <c r="B14" s="32" t="s">
        <v>12</v>
      </c>
      <c r="C14" s="33"/>
      <c r="D14" s="20"/>
      <c r="E14" s="1"/>
    </row>
    <row r="15" spans="1:5" ht="15" customHeight="1" x14ac:dyDescent="0.25">
      <c r="A15" s="1"/>
      <c r="B15" s="82" t="s">
        <v>12</v>
      </c>
      <c r="C15" s="10">
        <f>'Fane 6. Ikke-påvirkelige omk.'!C16*(1+'Fane 15. Nøgletal'!C15)^3+'Fane 6. Ikke-påvirkelige omk.'!C23+'Fane 6. Ikke-påvirkelige omk.'!C31</f>
        <v>4224271.7205597768</v>
      </c>
      <c r="D15" s="11" t="s">
        <v>3</v>
      </c>
      <c r="E15" s="1"/>
    </row>
    <row r="16" spans="1:5" ht="15" customHeight="1" x14ac:dyDescent="0.25">
      <c r="A16" s="1"/>
      <c r="B16" s="32" t="s">
        <v>74</v>
      </c>
      <c r="C16" s="33"/>
      <c r="D16" s="20"/>
      <c r="E16" s="1"/>
    </row>
    <row r="17" spans="1:5" ht="15" customHeight="1" x14ac:dyDescent="0.25">
      <c r="A17" s="1"/>
      <c r="B17" s="66"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82"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79" t="s">
        <v>179</v>
      </c>
      <c r="C21" s="10">
        <f>'Fane 8. Skattesagen'!G15</f>
        <v>0</v>
      </c>
      <c r="D21" s="11" t="s">
        <v>3</v>
      </c>
      <c r="E21" s="1"/>
    </row>
    <row r="22" spans="1:5" ht="15" customHeight="1" x14ac:dyDescent="0.25">
      <c r="A22" s="1"/>
      <c r="B22" s="32" t="s">
        <v>200</v>
      </c>
      <c r="C22" s="12">
        <f>SUM(C13,C15,C17,C19,C21)</f>
        <v>162318120.56362361</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9jujEtyFFVlPgfzHFAG4jPUhD/KMWGo/SV8sKk22nBh/6cBOMSJFw+aW9NKFFGyDsUu5rcXangNW/5CWRa8D8Q==" saltValue="kDOTZAm2ozqBSzYRF+dBz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201</v>
      </c>
      <c r="C3" s="140"/>
      <c r="D3" s="140"/>
      <c r="E3" s="140"/>
      <c r="F3" s="140"/>
      <c r="G3" s="1"/>
    </row>
    <row r="4" spans="1:7" ht="29.2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41" t="s">
        <v>24</v>
      </c>
      <c r="C9" s="142"/>
      <c r="D9" s="143"/>
      <c r="E9" s="84">
        <v>160349548.90308091</v>
      </c>
      <c r="F9" s="8" t="s">
        <v>3</v>
      </c>
      <c r="G9" s="1"/>
    </row>
    <row r="10" spans="1:7" ht="14.25" customHeight="1" x14ac:dyDescent="0.25">
      <c r="A10" s="1"/>
      <c r="B10" s="137" t="s">
        <v>39</v>
      </c>
      <c r="C10" s="138"/>
      <c r="D10" s="139"/>
      <c r="E10" s="84">
        <v>1173191.7989000001</v>
      </c>
      <c r="F10" s="8" t="s">
        <v>3</v>
      </c>
      <c r="G10" s="1"/>
    </row>
    <row r="11" spans="1:7" ht="14.25" customHeight="1" x14ac:dyDescent="0.25">
      <c r="A11" s="1"/>
      <c r="B11" s="137" t="s">
        <v>40</v>
      </c>
      <c r="C11" s="138"/>
      <c r="D11" s="139"/>
      <c r="E11" s="84">
        <v>1252686.2678</v>
      </c>
      <c r="F11" s="8" t="s">
        <v>3</v>
      </c>
      <c r="G11" s="1"/>
    </row>
    <row r="12" spans="1:7" x14ac:dyDescent="0.25">
      <c r="A12" s="1"/>
      <c r="B12" s="128" t="s">
        <v>28</v>
      </c>
      <c r="C12" s="129"/>
      <c r="D12" s="130"/>
      <c r="E12" s="85">
        <v>0</v>
      </c>
      <c r="F12" s="8" t="s">
        <v>3</v>
      </c>
      <c r="G12" s="1"/>
    </row>
    <row r="13" spans="1:7" ht="15" customHeight="1" x14ac:dyDescent="0.25">
      <c r="A13" s="1"/>
      <c r="B13" s="128" t="s">
        <v>27</v>
      </c>
      <c r="C13" s="129"/>
      <c r="D13" s="130"/>
      <c r="E13" s="85">
        <v>0</v>
      </c>
      <c r="F13" s="8" t="s">
        <v>3</v>
      </c>
      <c r="G13" s="1"/>
    </row>
    <row r="14" spans="1:7" x14ac:dyDescent="0.25">
      <c r="A14" s="1"/>
      <c r="B14" s="128" t="s">
        <v>113</v>
      </c>
      <c r="C14" s="129"/>
      <c r="D14" s="130"/>
      <c r="E14" s="85">
        <v>0</v>
      </c>
      <c r="F14" s="8" t="s">
        <v>3</v>
      </c>
      <c r="G14" s="1"/>
    </row>
    <row r="15" spans="1:7" x14ac:dyDescent="0.25">
      <c r="A15" s="1"/>
      <c r="B15" s="128" t="s">
        <v>114</v>
      </c>
      <c r="C15" s="129"/>
      <c r="D15" s="130"/>
      <c r="E15" s="85">
        <v>0</v>
      </c>
      <c r="F15" s="8" t="s">
        <v>3</v>
      </c>
      <c r="G15" s="1"/>
    </row>
    <row r="16" spans="1:7" x14ac:dyDescent="0.25">
      <c r="A16" s="1"/>
      <c r="B16" s="128" t="s">
        <v>19</v>
      </c>
      <c r="C16" s="129"/>
      <c r="D16" s="130"/>
      <c r="E16" s="85">
        <f>SUM(E9:E15)*'Fane 15. Nøgletal'!C14</f>
        <v>537158.90900027705</v>
      </c>
      <c r="F16" s="8" t="s">
        <v>3</v>
      </c>
      <c r="G16" s="1"/>
    </row>
    <row r="17" spans="1:7" x14ac:dyDescent="0.25">
      <c r="A17" s="1"/>
      <c r="B17" s="128" t="s">
        <v>10</v>
      </c>
      <c r="C17" s="129"/>
      <c r="D17" s="130"/>
      <c r="E17" s="85">
        <v>-2815770.9344486236</v>
      </c>
      <c r="F17" s="8" t="s">
        <v>3</v>
      </c>
      <c r="G17" s="1"/>
    </row>
    <row r="18" spans="1:7" x14ac:dyDescent="0.25">
      <c r="A18" s="1"/>
      <c r="B18" s="128" t="s">
        <v>25</v>
      </c>
      <c r="C18" s="129"/>
      <c r="D18" s="130"/>
      <c r="E18" s="85">
        <f>-'Fane 4.1. Gen. krav - drift'!G42</f>
        <v>-1181158.1280189811</v>
      </c>
      <c r="F18" s="8" t="s">
        <v>3</v>
      </c>
      <c r="G18" s="1"/>
    </row>
    <row r="19" spans="1:7" x14ac:dyDescent="0.25">
      <c r="A19" s="1"/>
      <c r="B19" s="128" t="s">
        <v>26</v>
      </c>
      <c r="C19" s="129"/>
      <c r="D19" s="130"/>
      <c r="E19" s="85">
        <f>-'Fane 4.2. Gen. krav - anlæg'!G41</f>
        <v>-1551898.7077749544</v>
      </c>
      <c r="F19" s="8" t="s">
        <v>3</v>
      </c>
      <c r="G19" s="1"/>
    </row>
    <row r="20" spans="1:7" x14ac:dyDescent="0.25">
      <c r="A20" s="1"/>
      <c r="B20" s="131" t="s">
        <v>21</v>
      </c>
      <c r="C20" s="132"/>
      <c r="D20" s="133"/>
      <c r="E20" s="86">
        <f>SUM(E9:E19)</f>
        <v>157763758.10853863</v>
      </c>
      <c r="F20" s="45" t="s">
        <v>3</v>
      </c>
      <c r="G20" s="1"/>
    </row>
    <row r="21" spans="1:7" x14ac:dyDescent="0.25">
      <c r="A21" s="1"/>
      <c r="B21" s="32" t="s">
        <v>12</v>
      </c>
      <c r="C21" s="33"/>
      <c r="D21" s="33"/>
      <c r="E21" s="87"/>
      <c r="F21" s="20"/>
      <c r="G21" s="1"/>
    </row>
    <row r="22" spans="1:7" ht="14.25" customHeight="1" x14ac:dyDescent="0.25">
      <c r="A22" s="1"/>
      <c r="B22" s="125" t="s">
        <v>12</v>
      </c>
      <c r="C22" s="126"/>
      <c r="D22" s="127"/>
      <c r="E22" s="88">
        <v>3108920.7535976702</v>
      </c>
      <c r="F22" s="10" t="s">
        <v>3</v>
      </c>
      <c r="G22" s="1"/>
    </row>
    <row r="23" spans="1:7" ht="14.25" customHeight="1" x14ac:dyDescent="0.25">
      <c r="A23" s="1"/>
      <c r="B23" s="32" t="s">
        <v>74</v>
      </c>
      <c r="C23" s="33"/>
      <c r="D23" s="33"/>
      <c r="E23" s="87"/>
      <c r="F23" s="20"/>
      <c r="G23" s="1"/>
    </row>
    <row r="24" spans="1:7" x14ac:dyDescent="0.25">
      <c r="A24" s="1"/>
      <c r="B24" s="134" t="s">
        <v>74</v>
      </c>
      <c r="C24" s="135"/>
      <c r="D24" s="136"/>
      <c r="E24" s="88">
        <v>0</v>
      </c>
      <c r="F24" s="10" t="s">
        <v>3</v>
      </c>
      <c r="G24" s="1"/>
    </row>
    <row r="25" spans="1:7" x14ac:dyDescent="0.25">
      <c r="A25" s="1"/>
      <c r="B25" s="32" t="s">
        <v>73</v>
      </c>
      <c r="C25" s="33"/>
      <c r="D25" s="33"/>
      <c r="E25" s="87"/>
      <c r="F25" s="20"/>
      <c r="G25" s="1"/>
    </row>
    <row r="26" spans="1:7" ht="15.4" customHeight="1" x14ac:dyDescent="0.25">
      <c r="A26" s="1"/>
      <c r="B26" s="137" t="s">
        <v>69</v>
      </c>
      <c r="C26" s="138"/>
      <c r="D26" s="139"/>
      <c r="E26" s="89">
        <v>0</v>
      </c>
      <c r="F26" s="8" t="s">
        <v>3</v>
      </c>
      <c r="G26" s="1"/>
    </row>
    <row r="27" spans="1:7" ht="15.75" customHeight="1" x14ac:dyDescent="0.25">
      <c r="A27" s="1"/>
      <c r="B27" s="137" t="s">
        <v>70</v>
      </c>
      <c r="C27" s="138"/>
      <c r="D27" s="139"/>
      <c r="E27" s="89">
        <v>0</v>
      </c>
      <c r="F27" s="8" t="s">
        <v>3</v>
      </c>
      <c r="G27" s="1"/>
    </row>
    <row r="28" spans="1:7" x14ac:dyDescent="0.25">
      <c r="A28" s="1"/>
      <c r="B28" s="66" t="s">
        <v>75</v>
      </c>
      <c r="C28" s="36"/>
      <c r="D28" s="37"/>
      <c r="E28" s="88">
        <v>0</v>
      </c>
      <c r="F28" s="11" t="s">
        <v>3</v>
      </c>
      <c r="G28" s="1"/>
    </row>
    <row r="29" spans="1:7" x14ac:dyDescent="0.25">
      <c r="A29" s="1"/>
      <c r="B29" s="32" t="s">
        <v>136</v>
      </c>
      <c r="C29" s="33"/>
      <c r="D29" s="33"/>
      <c r="E29" s="87"/>
      <c r="F29" s="20"/>
      <c r="G29" s="1"/>
    </row>
    <row r="30" spans="1:7" ht="15" customHeight="1" x14ac:dyDescent="0.25">
      <c r="A30" s="1"/>
      <c r="B30" s="125" t="s">
        <v>136</v>
      </c>
      <c r="C30" s="126"/>
      <c r="D30" s="127"/>
      <c r="E30" s="88">
        <v>0</v>
      </c>
      <c r="F30" s="11" t="s">
        <v>3</v>
      </c>
      <c r="G30" s="1"/>
    </row>
    <row r="31" spans="1:7" ht="15" customHeight="1" x14ac:dyDescent="0.25">
      <c r="A31" s="1"/>
      <c r="B31" s="32" t="s">
        <v>131</v>
      </c>
      <c r="C31" s="32"/>
      <c r="D31" s="32"/>
      <c r="E31" s="87"/>
      <c r="F31" s="20"/>
      <c r="G31" s="1"/>
    </row>
    <row r="32" spans="1:7" ht="15" customHeight="1" x14ac:dyDescent="0.25">
      <c r="A32" s="1"/>
      <c r="B32" s="125" t="s">
        <v>190</v>
      </c>
      <c r="C32" s="126"/>
      <c r="D32" s="127"/>
      <c r="E32" s="88">
        <v>-11674712.702683821</v>
      </c>
      <c r="F32" s="11" t="s">
        <v>3</v>
      </c>
      <c r="G32" s="1"/>
    </row>
    <row r="33" spans="1:7" ht="15" customHeight="1" x14ac:dyDescent="0.25">
      <c r="A33" s="1"/>
      <c r="B33" s="34" t="s">
        <v>178</v>
      </c>
      <c r="C33" s="34"/>
      <c r="D33" s="34"/>
      <c r="E33" s="87"/>
      <c r="F33" s="20"/>
      <c r="G33" s="1"/>
    </row>
    <row r="34" spans="1:7" ht="15" customHeight="1" x14ac:dyDescent="0.25">
      <c r="A34" s="1"/>
      <c r="B34" s="79" t="s">
        <v>179</v>
      </c>
      <c r="C34" s="79"/>
      <c r="D34" s="79"/>
      <c r="E34" s="88">
        <f>'Fane 8. Skattesagen'!G11</f>
        <v>0</v>
      </c>
      <c r="F34" s="11" t="s">
        <v>3</v>
      </c>
      <c r="G34" s="1"/>
    </row>
    <row r="35" spans="1:7" x14ac:dyDescent="0.25">
      <c r="A35" s="1"/>
      <c r="B35" s="46" t="s">
        <v>29</v>
      </c>
      <c r="C35" s="48"/>
      <c r="D35" s="48"/>
      <c r="E35" s="90">
        <f>E20+E22+E24+E28+E30+E32+E34</f>
        <v>149197966.1594525</v>
      </c>
      <c r="F35" s="47" t="s">
        <v>3</v>
      </c>
      <c r="G35" s="1"/>
    </row>
    <row r="36" spans="1:7" ht="27" customHeight="1" x14ac:dyDescent="0.25">
      <c r="A36" s="1"/>
      <c r="B36" s="122" t="s">
        <v>203</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E4EbE3x4bXr4qsu2Yr0a5j9O6g9HviIZIBS5MZwCUvs3+a4iz7/tTcgyrImiCFHkSHn5UrxuOOmvt59uRTKdWg==" saltValue="4dbVcun77YNJGcJHVWIJbQ==" spinCount="100000" sheet="1" objects="1" scenarios="1"/>
  <mergeCells count="20">
    <mergeCell ref="B3:F4"/>
    <mergeCell ref="B9:D9"/>
    <mergeCell ref="B12:D12"/>
    <mergeCell ref="B13:D13"/>
    <mergeCell ref="B10:D10"/>
    <mergeCell ref="B11:D11"/>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40" t="s">
        <v>99</v>
      </c>
      <c r="C1" s="140"/>
      <c r="D1" s="140"/>
      <c r="E1" s="140"/>
      <c r="F1" s="140"/>
      <c r="G1" s="140"/>
      <c r="H1" s="140"/>
      <c r="I1" s="1"/>
    </row>
    <row r="2" spans="1:9" ht="15" customHeight="1" x14ac:dyDescent="0.25">
      <c r="A2" s="1"/>
      <c r="B2" s="140"/>
      <c r="C2" s="140"/>
      <c r="D2" s="140"/>
      <c r="E2" s="140"/>
      <c r="F2" s="140"/>
      <c r="G2" s="140"/>
      <c r="H2" s="140"/>
      <c r="I2" s="1"/>
    </row>
    <row r="3" spans="1:9" ht="15" customHeight="1" x14ac:dyDescent="0.25">
      <c r="A3" s="1"/>
      <c r="B3" s="140"/>
      <c r="C3" s="140"/>
      <c r="D3" s="140"/>
      <c r="E3" s="140"/>
      <c r="F3" s="140"/>
      <c r="G3" s="140"/>
      <c r="H3" s="140"/>
      <c r="I3" s="1"/>
    </row>
    <row r="4" spans="1:9" x14ac:dyDescent="0.25">
      <c r="A4" s="1"/>
      <c r="B4" s="150" t="s">
        <v>154</v>
      </c>
      <c r="C4" s="151"/>
      <c r="D4" s="151"/>
      <c r="E4" s="151"/>
      <c r="F4" s="151"/>
      <c r="G4" s="151"/>
      <c r="H4" s="153"/>
      <c r="I4" s="1"/>
    </row>
    <row r="5" spans="1:9" x14ac:dyDescent="0.25">
      <c r="A5" s="1"/>
      <c r="B5" s="147" t="s">
        <v>155</v>
      </c>
      <c r="C5" s="148"/>
      <c r="D5" s="148"/>
      <c r="E5" s="148"/>
      <c r="F5" s="149"/>
      <c r="G5" s="24">
        <v>53019716</v>
      </c>
      <c r="H5" s="14" t="s">
        <v>3</v>
      </c>
      <c r="I5" s="1"/>
    </row>
    <row r="6" spans="1:9" ht="15" customHeight="1" x14ac:dyDescent="0.25">
      <c r="A6" s="1"/>
      <c r="B6" s="122" t="s">
        <v>156</v>
      </c>
      <c r="C6" s="123"/>
      <c r="D6" s="123"/>
      <c r="E6" s="123"/>
      <c r="F6" s="124"/>
      <c r="G6" s="91">
        <v>0</v>
      </c>
      <c r="H6" s="14" t="s">
        <v>3</v>
      </c>
      <c r="I6" s="1"/>
    </row>
    <row r="7" spans="1:9" x14ac:dyDescent="0.25">
      <c r="A7" s="1"/>
      <c r="B7" s="147" t="s">
        <v>157</v>
      </c>
      <c r="C7" s="148"/>
      <c r="D7" s="148"/>
      <c r="E7" s="148"/>
      <c r="F7" s="149"/>
      <c r="G7" s="91">
        <f>SUM(G5:G6)*'Fane 15. Nøgletal'!C31</f>
        <v>1060394.32</v>
      </c>
      <c r="H7" s="14" t="s">
        <v>3</v>
      </c>
      <c r="I7" s="1"/>
    </row>
    <row r="8" spans="1:9" x14ac:dyDescent="0.25">
      <c r="A8" s="1"/>
      <c r="B8" s="32"/>
      <c r="C8" s="33"/>
      <c r="D8" s="33"/>
      <c r="E8" s="33"/>
      <c r="F8" s="33"/>
      <c r="G8" s="92"/>
      <c r="H8" s="20"/>
      <c r="I8" s="1"/>
    </row>
    <row r="9" spans="1:9" x14ac:dyDescent="0.25">
      <c r="A9" s="1"/>
      <c r="B9" s="1"/>
      <c r="C9" s="1"/>
      <c r="D9" s="1"/>
      <c r="E9" s="1"/>
      <c r="F9" s="1"/>
      <c r="G9" s="93"/>
      <c r="H9" s="1"/>
      <c r="I9" s="1"/>
    </row>
    <row r="10" spans="1:9" x14ac:dyDescent="0.25">
      <c r="A10" s="1"/>
      <c r="B10" s="150" t="s">
        <v>49</v>
      </c>
      <c r="C10" s="151"/>
      <c r="D10" s="151"/>
      <c r="E10" s="151"/>
      <c r="F10" s="151"/>
      <c r="G10" s="152"/>
      <c r="H10" s="153"/>
      <c r="I10" s="1"/>
    </row>
    <row r="11" spans="1:9" x14ac:dyDescent="0.25">
      <c r="A11" s="1"/>
      <c r="B11" s="147" t="s">
        <v>158</v>
      </c>
      <c r="C11" s="148"/>
      <c r="D11" s="148"/>
      <c r="E11" s="148"/>
      <c r="F11" s="149"/>
      <c r="G11" s="91">
        <f>(G5-G7)*(1+'Fane 15. Nøgletal'!C10)</f>
        <v>52868609.8094</v>
      </c>
      <c r="H11" s="14" t="s">
        <v>3</v>
      </c>
      <c r="I11" s="1"/>
    </row>
    <row r="12" spans="1:9" x14ac:dyDescent="0.25">
      <c r="A12" s="1"/>
      <c r="B12" s="147" t="s">
        <v>110</v>
      </c>
      <c r="C12" s="148"/>
      <c r="D12" s="148"/>
      <c r="E12" s="148"/>
      <c r="F12" s="149"/>
      <c r="G12" s="91">
        <v>0</v>
      </c>
      <c r="H12" s="14" t="s">
        <v>3</v>
      </c>
      <c r="I12" s="1"/>
    </row>
    <row r="13" spans="1:9" x14ac:dyDescent="0.25">
      <c r="A13" s="1"/>
      <c r="B13" s="122" t="s">
        <v>108</v>
      </c>
      <c r="C13" s="123"/>
      <c r="D13" s="123"/>
      <c r="E13" s="123"/>
      <c r="F13" s="124"/>
      <c r="G13" s="91">
        <v>0</v>
      </c>
      <c r="H13" s="14" t="s">
        <v>3</v>
      </c>
      <c r="I13" s="1"/>
    </row>
    <row r="14" spans="1:9" x14ac:dyDescent="0.25">
      <c r="A14" s="1"/>
      <c r="B14" s="144" t="s">
        <v>159</v>
      </c>
      <c r="C14" s="145"/>
      <c r="D14" s="145"/>
      <c r="E14" s="145"/>
      <c r="F14" s="146"/>
      <c r="G14" s="91">
        <v>0</v>
      </c>
      <c r="H14" s="14" t="s">
        <v>3</v>
      </c>
      <c r="I14" s="1"/>
    </row>
    <row r="15" spans="1:9" x14ac:dyDescent="0.25">
      <c r="A15" s="1"/>
      <c r="B15" s="147" t="s">
        <v>42</v>
      </c>
      <c r="C15" s="148"/>
      <c r="D15" s="148"/>
      <c r="E15" s="148"/>
      <c r="F15" s="149"/>
      <c r="G15" s="91">
        <f>SUM(G11:G14)*'Fane 15. Nøgletal'!C31</f>
        <v>1057372.196188</v>
      </c>
      <c r="H15" s="14" t="s">
        <v>3</v>
      </c>
      <c r="I15" s="1"/>
    </row>
    <row r="16" spans="1:9" x14ac:dyDescent="0.25">
      <c r="A16" s="1"/>
      <c r="B16" s="32"/>
      <c r="C16" s="33"/>
      <c r="D16" s="33"/>
      <c r="E16" s="33"/>
      <c r="F16" s="33"/>
      <c r="G16" s="92"/>
      <c r="H16" s="20"/>
      <c r="I16" s="1"/>
    </row>
    <row r="17" spans="1:9" x14ac:dyDescent="0.25">
      <c r="A17" s="1"/>
      <c r="B17" s="1"/>
      <c r="C17" s="1"/>
      <c r="D17" s="1"/>
      <c r="E17" s="1"/>
      <c r="F17" s="1"/>
      <c r="G17" s="93"/>
      <c r="H17" s="1"/>
      <c r="I17" s="1"/>
    </row>
    <row r="18" spans="1:9" x14ac:dyDescent="0.25">
      <c r="A18" s="1"/>
      <c r="B18" s="150" t="s">
        <v>50</v>
      </c>
      <c r="C18" s="151"/>
      <c r="D18" s="151"/>
      <c r="E18" s="151"/>
      <c r="F18" s="151"/>
      <c r="G18" s="152"/>
      <c r="H18" s="153"/>
      <c r="I18" s="1"/>
    </row>
    <row r="19" spans="1:9" x14ac:dyDescent="0.25">
      <c r="A19" s="1"/>
      <c r="B19" s="147" t="s">
        <v>43</v>
      </c>
      <c r="C19" s="148"/>
      <c r="D19" s="148"/>
      <c r="E19" s="148"/>
      <c r="F19" s="149"/>
      <c r="G19" s="91">
        <f>(G11+G12+G14-G15)*(1+'Fane 15. Nøgletal'!C10)</f>
        <v>52717934.271443211</v>
      </c>
      <c r="H19" s="14" t="s">
        <v>3</v>
      </c>
      <c r="I19" s="1"/>
    </row>
    <row r="20" spans="1:9" x14ac:dyDescent="0.25">
      <c r="A20" s="1"/>
      <c r="B20" s="144" t="s">
        <v>44</v>
      </c>
      <c r="C20" s="145"/>
      <c r="D20" s="145"/>
      <c r="E20" s="145"/>
      <c r="F20" s="146"/>
      <c r="G20" s="91">
        <v>0</v>
      </c>
      <c r="H20" s="14" t="s">
        <v>3</v>
      </c>
      <c r="I20" s="1"/>
    </row>
    <row r="21" spans="1:9" x14ac:dyDescent="0.25">
      <c r="A21" s="1"/>
      <c r="B21" s="147" t="s">
        <v>45</v>
      </c>
      <c r="C21" s="148"/>
      <c r="D21" s="148"/>
      <c r="E21" s="148"/>
      <c r="F21" s="149"/>
      <c r="G21" s="91">
        <f>(G19+G20)*'Fane 15. Nøgletal'!C31</f>
        <v>1054358.6854288643</v>
      </c>
      <c r="H21" s="14" t="s">
        <v>3</v>
      </c>
      <c r="I21" s="1"/>
    </row>
    <row r="22" spans="1:9" x14ac:dyDescent="0.25">
      <c r="A22" s="1"/>
      <c r="B22" s="32"/>
      <c r="C22" s="33"/>
      <c r="D22" s="33"/>
      <c r="E22" s="33"/>
      <c r="F22" s="33"/>
      <c r="G22" s="92"/>
      <c r="H22" s="20"/>
      <c r="I22" s="1"/>
    </row>
    <row r="23" spans="1:9" x14ac:dyDescent="0.25">
      <c r="A23" s="1"/>
      <c r="B23" s="1"/>
      <c r="C23" s="1"/>
      <c r="D23" s="1"/>
      <c r="E23" s="1"/>
      <c r="F23" s="1"/>
      <c r="G23" s="93"/>
      <c r="H23" s="1"/>
      <c r="I23" s="1"/>
    </row>
    <row r="24" spans="1:9" x14ac:dyDescent="0.25">
      <c r="A24" s="1"/>
      <c r="B24" s="150" t="s">
        <v>51</v>
      </c>
      <c r="C24" s="151"/>
      <c r="D24" s="151"/>
      <c r="E24" s="151"/>
      <c r="F24" s="151"/>
      <c r="G24" s="152"/>
      <c r="H24" s="153"/>
      <c r="I24" s="1"/>
    </row>
    <row r="25" spans="1:9" x14ac:dyDescent="0.25">
      <c r="A25" s="1"/>
      <c r="B25" s="147" t="s">
        <v>46</v>
      </c>
      <c r="C25" s="148"/>
      <c r="D25" s="148"/>
      <c r="E25" s="148"/>
      <c r="F25" s="149"/>
      <c r="G25" s="91">
        <f>G19*(1-'Fane 15. Nøgletal'!C31)*(1+'Fane 15. Nøgletal'!C10)+G20*(1-'Fane 15. Nøgletal'!C31)*(1+'Fane 15. Nøgletal'!C11)</f>
        <v>52567688.1587696</v>
      </c>
      <c r="H25" s="14" t="s">
        <v>3</v>
      </c>
      <c r="I25" s="1"/>
    </row>
    <row r="26" spans="1:9" x14ac:dyDescent="0.25">
      <c r="A26" s="1"/>
      <c r="B26" s="154" t="s">
        <v>160</v>
      </c>
      <c r="C26" s="155"/>
      <c r="D26" s="155"/>
      <c r="E26" s="155"/>
      <c r="F26" s="156"/>
      <c r="G26" s="91">
        <f>G20*(1-'Fane 15. Nøgletal'!C31)*(1+'Fane 15. Nøgletal'!C11)</f>
        <v>0</v>
      </c>
      <c r="H26" s="14" t="s">
        <v>3</v>
      </c>
      <c r="I26" s="1"/>
    </row>
    <row r="27" spans="1:9" x14ac:dyDescent="0.25">
      <c r="A27" s="1"/>
      <c r="B27" s="144" t="s">
        <v>47</v>
      </c>
      <c r="C27" s="145"/>
      <c r="D27" s="145"/>
      <c r="E27" s="145"/>
      <c r="F27" s="146"/>
      <c r="G27" s="91">
        <v>1721715.43242897</v>
      </c>
      <c r="H27" s="14" t="s">
        <v>3</v>
      </c>
      <c r="I27" s="1"/>
    </row>
    <row r="28" spans="1:9" x14ac:dyDescent="0.25">
      <c r="A28" s="1"/>
      <c r="B28" s="147" t="s">
        <v>48</v>
      </c>
      <c r="C28" s="148"/>
      <c r="D28" s="148"/>
      <c r="E28" s="148"/>
      <c r="F28" s="149"/>
      <c r="G28" s="91">
        <f>SUM(G25,G27)*'Fane 15. Nøgletal'!C31</f>
        <v>1085788.0718239713</v>
      </c>
      <c r="H28" s="14" t="s">
        <v>3</v>
      </c>
      <c r="I28" s="1"/>
    </row>
    <row r="29" spans="1:9" x14ac:dyDescent="0.25">
      <c r="A29" s="1"/>
      <c r="B29" s="32"/>
      <c r="C29" s="33"/>
      <c r="D29" s="33"/>
      <c r="E29" s="33"/>
      <c r="F29" s="33"/>
      <c r="G29" s="92"/>
      <c r="H29" s="20"/>
      <c r="I29" s="1"/>
    </row>
    <row r="30" spans="1:9" x14ac:dyDescent="0.25">
      <c r="A30" s="1"/>
      <c r="B30" s="1"/>
      <c r="C30" s="1"/>
      <c r="D30" s="1"/>
      <c r="E30" s="1"/>
      <c r="F30" s="1"/>
      <c r="G30" s="93"/>
      <c r="H30" s="1"/>
      <c r="I30" s="1"/>
    </row>
    <row r="31" spans="1:9" x14ac:dyDescent="0.25">
      <c r="A31" s="1"/>
      <c r="B31" s="150" t="s">
        <v>52</v>
      </c>
      <c r="C31" s="151"/>
      <c r="D31" s="151"/>
      <c r="E31" s="151"/>
      <c r="F31" s="151"/>
      <c r="G31" s="152"/>
      <c r="H31" s="153"/>
      <c r="I31" s="1"/>
    </row>
    <row r="32" spans="1:9" x14ac:dyDescent="0.25">
      <c r="A32" s="1"/>
      <c r="B32" s="147" t="s">
        <v>53</v>
      </c>
      <c r="C32" s="148"/>
      <c r="D32" s="148"/>
      <c r="E32" s="148"/>
      <c r="F32" s="149"/>
      <c r="G32" s="91">
        <f>(G25-G26)*(1-'Fane 15. Nøgletal'!C31)*(1+'Fane 15. Nøgletal'!C10)+G26*(1-'Fane 15. Nøgletal'!C31)*(1+'Fane 15. Nøgletal'!C11)+G27*(1-'Fane 15. Nøgletal'!C31)*(1+'Fane 15. Nøgletal'!C12)</f>
        <v>54138390.809435971</v>
      </c>
      <c r="H32" s="14" t="s">
        <v>3</v>
      </c>
      <c r="I32" s="1"/>
    </row>
    <row r="33" spans="1:9" x14ac:dyDescent="0.25">
      <c r="A33" s="1"/>
      <c r="B33" s="154" t="s">
        <v>160</v>
      </c>
      <c r="C33" s="145"/>
      <c r="D33" s="145"/>
      <c r="E33" s="145"/>
      <c r="F33" s="146"/>
      <c r="G33" s="91">
        <f>G26*(1-'Fane 15. Nøgletal'!C31)*(1+'Fane 15. Nøgletal'!C11)</f>
        <v>0</v>
      </c>
      <c r="H33" s="14" t="s">
        <v>3</v>
      </c>
      <c r="I33" s="1"/>
    </row>
    <row r="34" spans="1:9" x14ac:dyDescent="0.25">
      <c r="A34" s="1"/>
      <c r="B34" s="154" t="s">
        <v>107</v>
      </c>
      <c r="C34" s="145"/>
      <c r="D34" s="145"/>
      <c r="E34" s="145"/>
      <c r="F34" s="146"/>
      <c r="G34" s="91">
        <f>G27*(1-'Fane 15. Nøgletal'!C31)*(1+'Fane 15. Nøgletal'!C12)</f>
        <v>1720520.5619188643</v>
      </c>
      <c r="H34" s="14" t="s">
        <v>3</v>
      </c>
      <c r="I34" s="1"/>
    </row>
    <row r="35" spans="1:9" x14ac:dyDescent="0.25">
      <c r="A35" s="1"/>
      <c r="B35" s="147" t="s">
        <v>123</v>
      </c>
      <c r="C35" s="148"/>
      <c r="D35" s="148"/>
      <c r="E35" s="148"/>
      <c r="F35" s="149"/>
      <c r="G35" s="91">
        <v>4729430.1458124006</v>
      </c>
      <c r="H35" s="14" t="s">
        <v>3</v>
      </c>
      <c r="I35" s="1"/>
    </row>
    <row r="36" spans="1:9" x14ac:dyDescent="0.25">
      <c r="A36" s="1"/>
      <c r="B36" s="147" t="s">
        <v>54</v>
      </c>
      <c r="C36" s="148"/>
      <c r="D36" s="148"/>
      <c r="E36" s="148"/>
      <c r="F36" s="149"/>
      <c r="G36" s="91">
        <f>SUM(G32,G35)*'Fane 15. Nøgletal'!C31</f>
        <v>1177356.4191049675</v>
      </c>
      <c r="H36" s="14" t="s">
        <v>3</v>
      </c>
      <c r="I36" s="1"/>
    </row>
    <row r="37" spans="1:9" x14ac:dyDescent="0.25">
      <c r="A37" s="1"/>
      <c r="B37" s="32"/>
      <c r="C37" s="33"/>
      <c r="D37" s="33"/>
      <c r="E37" s="33"/>
      <c r="F37" s="33"/>
      <c r="G37" s="92"/>
      <c r="H37" s="20"/>
      <c r="I37" s="1"/>
    </row>
    <row r="38" spans="1:9" x14ac:dyDescent="0.25">
      <c r="A38" s="1"/>
      <c r="B38" s="1"/>
      <c r="C38" s="1"/>
      <c r="D38" s="1"/>
      <c r="E38" s="1"/>
      <c r="F38" s="1"/>
      <c r="G38" s="93"/>
      <c r="H38" s="1"/>
      <c r="I38" s="1"/>
    </row>
    <row r="39" spans="1:9" x14ac:dyDescent="0.25">
      <c r="A39" s="1"/>
      <c r="B39" s="150" t="s">
        <v>139</v>
      </c>
      <c r="C39" s="151"/>
      <c r="D39" s="151"/>
      <c r="E39" s="151"/>
      <c r="F39" s="151"/>
      <c r="G39" s="152"/>
      <c r="H39" s="153"/>
      <c r="I39" s="1"/>
    </row>
    <row r="40" spans="1:9" x14ac:dyDescent="0.25">
      <c r="A40" s="1"/>
      <c r="B40" s="147" t="s">
        <v>166</v>
      </c>
      <c r="C40" s="148"/>
      <c r="D40" s="148"/>
      <c r="E40" s="148"/>
      <c r="F40" s="149"/>
      <c r="G40" s="91">
        <f>(SUM(G32,G35)-G36)*(1+'Fane 15. Nøgletal'!C14)</f>
        <v>57880843.069112681</v>
      </c>
      <c r="H40" s="14" t="s">
        <v>3</v>
      </c>
      <c r="I40" s="1"/>
    </row>
    <row r="41" spans="1:9" x14ac:dyDescent="0.25">
      <c r="A41" s="1"/>
      <c r="B41" s="147" t="s">
        <v>165</v>
      </c>
      <c r="C41" s="148"/>
      <c r="D41" s="148"/>
      <c r="E41" s="148"/>
      <c r="F41" s="149"/>
      <c r="G41" s="94">
        <v>1177063.3318363701</v>
      </c>
      <c r="H41" s="14" t="s">
        <v>3</v>
      </c>
      <c r="I41" s="1"/>
    </row>
    <row r="42" spans="1:9" x14ac:dyDescent="0.25">
      <c r="A42" s="1"/>
      <c r="B42" s="147" t="s">
        <v>164</v>
      </c>
      <c r="C42" s="148"/>
      <c r="D42" s="148"/>
      <c r="E42" s="148"/>
      <c r="F42" s="149"/>
      <c r="G42" s="91">
        <f>(G40+G41)*'Fane 15. Nøgletal'!C31</f>
        <v>1181158.1280189811</v>
      </c>
      <c r="H42" s="14" t="s">
        <v>3</v>
      </c>
      <c r="I42" s="1"/>
    </row>
    <row r="43" spans="1:9" x14ac:dyDescent="0.25">
      <c r="A43" s="1"/>
      <c r="B43" s="32"/>
      <c r="C43" s="33"/>
      <c r="D43" s="33"/>
      <c r="E43" s="33"/>
      <c r="F43" s="33"/>
      <c r="G43" s="92"/>
      <c r="H43" s="20"/>
      <c r="I43" s="1"/>
    </row>
    <row r="44" spans="1:9" x14ac:dyDescent="0.25">
      <c r="A44" s="1"/>
      <c r="B44" s="1"/>
      <c r="C44" s="1"/>
      <c r="D44" s="1"/>
      <c r="E44" s="1"/>
      <c r="F44" s="1"/>
      <c r="G44" s="93"/>
      <c r="H44" s="1"/>
      <c r="I44" s="1"/>
    </row>
    <row r="45" spans="1:9" x14ac:dyDescent="0.25">
      <c r="A45" s="1"/>
      <c r="B45" s="150" t="s">
        <v>151</v>
      </c>
      <c r="C45" s="151"/>
      <c r="D45" s="151"/>
      <c r="E45" s="151"/>
      <c r="F45" s="151"/>
      <c r="G45" s="152"/>
      <c r="H45" s="153"/>
      <c r="I45" s="1"/>
    </row>
    <row r="46" spans="1:9" x14ac:dyDescent="0.25">
      <c r="A46" s="1"/>
      <c r="B46" s="147" t="s">
        <v>175</v>
      </c>
      <c r="C46" s="148"/>
      <c r="D46" s="148"/>
      <c r="E46" s="148"/>
      <c r="F46" s="149"/>
      <c r="G46" s="91">
        <f>(G40+G41-G42)*(1+'Fane 15. Nøgletal'!C14)</f>
        <v>58067741.542230748</v>
      </c>
      <c r="H46" s="14" t="s">
        <v>3</v>
      </c>
      <c r="I46" s="1"/>
    </row>
    <row r="47" spans="1:9" x14ac:dyDescent="0.25">
      <c r="A47" s="1"/>
      <c r="B47" s="154" t="s">
        <v>238</v>
      </c>
      <c r="C47" s="155"/>
      <c r="D47" s="155"/>
      <c r="E47" s="155"/>
      <c r="F47" s="156"/>
      <c r="G47" s="94">
        <f>('Fane 2.1. Økonomisk ramme 2023'!C12+'Fane 2.1. Økonomisk ramme 2023'!C14+'Fane 2.1. Økonomisk ramme 2023'!C16)*(1+'Fane 15. Nøgletal'!C15)</f>
        <v>319154.48919504002</v>
      </c>
      <c r="H47" s="14" t="s">
        <v>3</v>
      </c>
      <c r="I47" s="1"/>
    </row>
    <row r="48" spans="1:9" x14ac:dyDescent="0.25">
      <c r="A48" s="1"/>
      <c r="B48" s="147" t="s">
        <v>176</v>
      </c>
      <c r="C48" s="148"/>
      <c r="D48" s="148"/>
      <c r="E48" s="148"/>
      <c r="F48" s="149"/>
      <c r="G48" s="91">
        <f>G46*'Fane 15. Nøgletal'!C31+'Fane 4.1. Gen. krav - drift'!G47*'Fane 15. Nøgletal'!C31</f>
        <v>1167737.9206285158</v>
      </c>
      <c r="H48" s="14" t="s">
        <v>3</v>
      </c>
      <c r="I48" s="1"/>
    </row>
    <row r="49" spans="1:9" x14ac:dyDescent="0.25">
      <c r="A49" s="1"/>
      <c r="B49" s="32"/>
      <c r="C49" s="33"/>
      <c r="D49" s="33"/>
      <c r="E49" s="33"/>
      <c r="F49" s="33"/>
      <c r="G49" s="92"/>
      <c r="H49" s="20"/>
      <c r="I49" s="1"/>
    </row>
    <row r="50" spans="1:9" x14ac:dyDescent="0.25">
      <c r="A50" s="1"/>
      <c r="B50" s="31"/>
      <c r="C50" s="31"/>
      <c r="D50" s="31"/>
      <c r="E50" s="31"/>
      <c r="F50" s="31"/>
      <c r="G50" s="95"/>
      <c r="H50" s="31"/>
      <c r="I50" s="1"/>
    </row>
    <row r="51" spans="1:9" x14ac:dyDescent="0.25">
      <c r="A51" s="1"/>
      <c r="B51" s="31"/>
      <c r="C51" s="31"/>
      <c r="D51" s="31"/>
      <c r="E51" s="31"/>
      <c r="F51" s="31"/>
      <c r="G51" s="95"/>
      <c r="H51" s="31"/>
      <c r="I51" s="1"/>
    </row>
    <row r="52" spans="1:9" x14ac:dyDescent="0.25">
      <c r="A52" s="1"/>
      <c r="B52" s="150" t="s">
        <v>124</v>
      </c>
      <c r="C52" s="151"/>
      <c r="D52" s="151"/>
      <c r="E52" s="151"/>
      <c r="F52" s="151"/>
      <c r="G52" s="152"/>
      <c r="H52" s="153"/>
      <c r="I52" s="1"/>
    </row>
    <row r="53" spans="1:9" x14ac:dyDescent="0.25">
      <c r="A53" s="1"/>
      <c r="B53" s="147" t="s">
        <v>125</v>
      </c>
      <c r="C53" s="148"/>
      <c r="D53" s="148"/>
      <c r="E53" s="148"/>
      <c r="F53" s="149"/>
      <c r="G53" s="91">
        <f>(G46+G47-G48)*(1+'Fane 15. Nøgletal'!C15)</f>
        <v>59256160.139541656</v>
      </c>
      <c r="H53" s="14" t="s">
        <v>3</v>
      </c>
      <c r="I53" s="1"/>
    </row>
    <row r="54" spans="1:9" x14ac:dyDescent="0.25">
      <c r="A54" s="1"/>
      <c r="B54" s="147" t="s">
        <v>126</v>
      </c>
      <c r="C54" s="148"/>
      <c r="D54" s="148"/>
      <c r="E54" s="148"/>
      <c r="F54" s="149"/>
      <c r="G54" s="91">
        <f>(G53)*'Fane 15. Nøgletal'!C31</f>
        <v>1185123.2027908331</v>
      </c>
      <c r="H54" s="14" t="s">
        <v>3</v>
      </c>
      <c r="I54" s="1"/>
    </row>
    <row r="55" spans="1:9" x14ac:dyDescent="0.25">
      <c r="A55" s="1"/>
      <c r="B55" s="32"/>
      <c r="C55" s="33"/>
      <c r="D55" s="33"/>
      <c r="E55" s="33"/>
      <c r="F55" s="33"/>
      <c r="G55" s="92"/>
      <c r="H55" s="20"/>
      <c r="I55" s="1"/>
    </row>
    <row r="56" spans="1:9" x14ac:dyDescent="0.25">
      <c r="A56" s="1"/>
      <c r="B56" s="1"/>
      <c r="C56" s="1"/>
      <c r="D56" s="1"/>
      <c r="E56" s="1"/>
      <c r="F56" s="1"/>
      <c r="G56" s="93"/>
      <c r="H56" s="1"/>
      <c r="I56" s="1"/>
    </row>
    <row r="57" spans="1:9" x14ac:dyDescent="0.25">
      <c r="A57" s="1"/>
      <c r="B57" s="76" t="s">
        <v>152</v>
      </c>
      <c r="C57" s="77"/>
      <c r="D57" s="77"/>
      <c r="E57" s="77"/>
      <c r="F57" s="77"/>
      <c r="G57" s="96"/>
      <c r="H57" s="78"/>
      <c r="I57" s="1"/>
    </row>
    <row r="58" spans="1:9" x14ac:dyDescent="0.25">
      <c r="A58" s="1"/>
      <c r="B58" s="73" t="s">
        <v>161</v>
      </c>
      <c r="C58" s="74"/>
      <c r="D58" s="74"/>
      <c r="E58" s="74"/>
      <c r="F58" s="75"/>
      <c r="G58" s="91">
        <f>(G53-G54)*(1+'Fane 15. Nøgletal'!C15)</f>
        <v>60138365.851699159</v>
      </c>
      <c r="H58" s="14" t="s">
        <v>3</v>
      </c>
      <c r="I58" s="1"/>
    </row>
    <row r="59" spans="1:9" x14ac:dyDescent="0.25">
      <c r="A59" s="1"/>
      <c r="B59" s="73" t="s">
        <v>162</v>
      </c>
      <c r="C59" s="74"/>
      <c r="D59" s="74"/>
      <c r="E59" s="74"/>
      <c r="F59" s="75"/>
      <c r="G59" s="91">
        <f>(G58)*'Fane 15. Nøgletal'!C31</f>
        <v>1202767.3170339833</v>
      </c>
      <c r="H59" s="14" t="s">
        <v>3</v>
      </c>
      <c r="I59" s="1"/>
    </row>
    <row r="60" spans="1:9" x14ac:dyDescent="0.25">
      <c r="A60" s="1"/>
      <c r="B60" s="32"/>
      <c r="C60" s="33"/>
      <c r="D60" s="33"/>
      <c r="E60" s="33"/>
      <c r="F60" s="33"/>
      <c r="G60" s="92"/>
      <c r="H60" s="20"/>
      <c r="I60" s="1"/>
    </row>
    <row r="61" spans="1:9" x14ac:dyDescent="0.25">
      <c r="A61" s="1"/>
      <c r="B61" s="1"/>
      <c r="C61" s="1"/>
      <c r="D61" s="1"/>
      <c r="E61" s="1"/>
      <c r="F61" s="1"/>
      <c r="G61" s="93"/>
      <c r="H61" s="1"/>
      <c r="I61" s="1"/>
    </row>
    <row r="62" spans="1:9" x14ac:dyDescent="0.25">
      <c r="A62" s="1"/>
      <c r="B62" s="76" t="s">
        <v>204</v>
      </c>
      <c r="C62" s="77"/>
      <c r="D62" s="77"/>
      <c r="E62" s="77"/>
      <c r="F62" s="77"/>
      <c r="G62" s="96"/>
      <c r="H62" s="78"/>
      <c r="I62" s="1"/>
    </row>
    <row r="63" spans="1:9" x14ac:dyDescent="0.25">
      <c r="A63" s="1"/>
      <c r="B63" s="73" t="s">
        <v>205</v>
      </c>
      <c r="C63" s="74"/>
      <c r="D63" s="74"/>
      <c r="E63" s="74"/>
      <c r="F63" s="75"/>
      <c r="G63" s="91">
        <f>(G58-G59)*(1+'Fane 15. Nøgletal'!C15)</f>
        <v>61033705.842499256</v>
      </c>
      <c r="H63" s="14" t="s">
        <v>3</v>
      </c>
      <c r="I63" s="1"/>
    </row>
    <row r="64" spans="1:9" x14ac:dyDescent="0.25">
      <c r="A64" s="1"/>
      <c r="B64" s="73" t="s">
        <v>206</v>
      </c>
      <c r="C64" s="74"/>
      <c r="D64" s="74"/>
      <c r="E64" s="74"/>
      <c r="F64" s="75"/>
      <c r="G64" s="91">
        <f>(G63)*'Fane 15. Nøgletal'!C31</f>
        <v>1220674.1168499852</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o06sXqhgVAMGE5Bm7mWVA0wbvrH+U07whg4/aYBQ22KBQa/uVG1cQ3JB093LMU5VyTi/4qjpjx82FglXJOcfpA==" saltValue="klDD3K6AHhMBydDnJX5xxw==" spinCount="100000" sheet="1" objects="1" scenarios="1"/>
  <mergeCells count="37">
    <mergeCell ref="B41:F41"/>
    <mergeCell ref="B47:F47"/>
    <mergeCell ref="B52:H52"/>
    <mergeCell ref="B53:F53"/>
    <mergeCell ref="B54:F54"/>
    <mergeCell ref="B48:F48"/>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8.5703125" style="2" customWidth="1"/>
    <col min="7" max="7" width="12"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7" t="s">
        <v>168</v>
      </c>
      <c r="C6" s="148"/>
      <c r="D6" s="148"/>
      <c r="E6" s="148"/>
      <c r="F6" s="149"/>
      <c r="G6" s="91">
        <v>97813106</v>
      </c>
      <c r="H6" s="14" t="s">
        <v>3</v>
      </c>
      <c r="I6" s="1"/>
    </row>
    <row r="7" spans="1:9" x14ac:dyDescent="0.25">
      <c r="A7" s="1"/>
      <c r="B7" s="147" t="s">
        <v>163</v>
      </c>
      <c r="C7" s="148"/>
      <c r="D7" s="148"/>
      <c r="E7" s="148"/>
      <c r="F7" s="149"/>
      <c r="G7" s="91">
        <f>G6*'Fane 15. Nøgletal'!C20</f>
        <v>890099.26459999999</v>
      </c>
      <c r="H7" s="14" t="s">
        <v>3</v>
      </c>
      <c r="I7" s="1"/>
    </row>
    <row r="8" spans="1:9" x14ac:dyDescent="0.25">
      <c r="A8" s="1"/>
      <c r="B8" s="32"/>
      <c r="C8" s="33"/>
      <c r="D8" s="33"/>
      <c r="E8" s="33"/>
      <c r="F8" s="33"/>
      <c r="G8" s="87"/>
      <c r="H8" s="20"/>
      <c r="I8" s="1"/>
    </row>
    <row r="9" spans="1:9" x14ac:dyDescent="0.25">
      <c r="A9" s="1"/>
      <c r="B9" s="1"/>
      <c r="C9" s="1"/>
      <c r="D9" s="1"/>
      <c r="E9" s="1"/>
      <c r="F9" s="1"/>
      <c r="G9" s="97"/>
      <c r="H9" s="1"/>
      <c r="I9" s="1"/>
    </row>
    <row r="10" spans="1:9" x14ac:dyDescent="0.25">
      <c r="A10" s="1"/>
      <c r="B10" s="150" t="s">
        <v>55</v>
      </c>
      <c r="C10" s="151"/>
      <c r="D10" s="151"/>
      <c r="E10" s="151"/>
      <c r="F10" s="151"/>
      <c r="G10" s="152"/>
      <c r="H10" s="153"/>
      <c r="I10" s="1"/>
    </row>
    <row r="11" spans="1:9" x14ac:dyDescent="0.25">
      <c r="A11" s="1"/>
      <c r="B11" s="147" t="s">
        <v>169</v>
      </c>
      <c r="C11" s="148"/>
      <c r="D11" s="148"/>
      <c r="E11" s="148"/>
      <c r="F11" s="149"/>
      <c r="G11" s="91">
        <f>(G6-G7)*(1+'Fane 15. Nøgletal'!C10)</f>
        <v>98619159.353269517</v>
      </c>
      <c r="H11" s="14" t="s">
        <v>3</v>
      </c>
      <c r="I11" s="1"/>
    </row>
    <row r="12" spans="1:9" x14ac:dyDescent="0.25">
      <c r="A12" s="1"/>
      <c r="B12" s="147" t="s">
        <v>111</v>
      </c>
      <c r="C12" s="148"/>
      <c r="D12" s="148"/>
      <c r="E12" s="148"/>
      <c r="F12" s="149"/>
      <c r="G12" s="91">
        <v>414012.72391671623</v>
      </c>
      <c r="H12" s="14" t="s">
        <v>3</v>
      </c>
      <c r="I12" s="1"/>
    </row>
    <row r="13" spans="1:9" x14ac:dyDescent="0.25">
      <c r="A13" s="1"/>
      <c r="B13" s="144" t="s">
        <v>170</v>
      </c>
      <c r="C13" s="145"/>
      <c r="D13" s="145"/>
      <c r="E13" s="145"/>
      <c r="F13" s="146"/>
      <c r="G13" s="91">
        <v>0</v>
      </c>
      <c r="H13" s="14" t="s">
        <v>3</v>
      </c>
      <c r="I13" s="1"/>
    </row>
    <row r="14" spans="1:9" x14ac:dyDescent="0.25">
      <c r="A14" s="1"/>
      <c r="B14" s="147" t="s">
        <v>56</v>
      </c>
      <c r="C14" s="148"/>
      <c r="D14" s="148"/>
      <c r="E14" s="148"/>
      <c r="F14" s="149"/>
      <c r="G14" s="91">
        <f>SUM(G11:G13)*'Fane 15. Nøgletal'!C21</f>
        <v>1752887.1457661963</v>
      </c>
      <c r="H14" s="14" t="s">
        <v>3</v>
      </c>
      <c r="I14" s="1"/>
    </row>
    <row r="15" spans="1:9" x14ac:dyDescent="0.25">
      <c r="A15" s="1"/>
      <c r="B15" s="32"/>
      <c r="C15" s="33"/>
      <c r="D15" s="33"/>
      <c r="E15" s="33"/>
      <c r="F15" s="33"/>
      <c r="G15" s="87"/>
      <c r="H15" s="20"/>
      <c r="I15" s="1"/>
    </row>
    <row r="16" spans="1:9" x14ac:dyDescent="0.25">
      <c r="A16" s="1"/>
      <c r="B16" s="1"/>
      <c r="C16" s="1"/>
      <c r="D16" s="1"/>
      <c r="E16" s="1"/>
      <c r="F16" s="1"/>
      <c r="G16" s="97"/>
      <c r="H16" s="1"/>
      <c r="I16" s="1"/>
    </row>
    <row r="17" spans="1:9" x14ac:dyDescent="0.25">
      <c r="A17" s="1"/>
      <c r="B17" s="150" t="s">
        <v>57</v>
      </c>
      <c r="C17" s="151"/>
      <c r="D17" s="151"/>
      <c r="E17" s="151"/>
      <c r="F17" s="151"/>
      <c r="G17" s="152"/>
      <c r="H17" s="153"/>
      <c r="I17" s="1"/>
    </row>
    <row r="18" spans="1:9" x14ac:dyDescent="0.25">
      <c r="A18" s="1"/>
      <c r="B18" s="147" t="s">
        <v>58</v>
      </c>
      <c r="C18" s="148"/>
      <c r="D18" s="148"/>
      <c r="E18" s="148"/>
      <c r="F18" s="149"/>
      <c r="G18" s="91">
        <f>(G11+G12+G13-G14)*(1+'Fane 15. Nøgletal'!C10)</f>
        <v>98982689.917719886</v>
      </c>
      <c r="H18" s="14" t="s">
        <v>3</v>
      </c>
      <c r="I18" s="1"/>
    </row>
    <row r="19" spans="1:9" x14ac:dyDescent="0.25">
      <c r="A19" s="1"/>
      <c r="B19" s="144" t="s">
        <v>59</v>
      </c>
      <c r="C19" s="145"/>
      <c r="D19" s="145"/>
      <c r="E19" s="145"/>
      <c r="F19" s="146"/>
      <c r="G19" s="91">
        <v>173273.45298281996</v>
      </c>
      <c r="H19" s="14" t="s">
        <v>3</v>
      </c>
      <c r="I19" s="1"/>
    </row>
    <row r="20" spans="1:9" x14ac:dyDescent="0.25">
      <c r="A20" s="1"/>
      <c r="B20" s="147" t="s">
        <v>60</v>
      </c>
      <c r="C20" s="148"/>
      <c r="D20" s="148"/>
      <c r="E20" s="148"/>
      <c r="F20" s="149"/>
      <c r="G20" s="91">
        <f>G18*'Fane 15. Nøgletal'!C21+G19*'Fane 15. Nøgletal'!C22</f>
        <v>1753501.0905845927</v>
      </c>
      <c r="H20" s="14" t="s">
        <v>3</v>
      </c>
      <c r="I20" s="1"/>
    </row>
    <row r="21" spans="1:9" x14ac:dyDescent="0.25">
      <c r="A21" s="1"/>
      <c r="B21" s="32"/>
      <c r="C21" s="33"/>
      <c r="D21" s="33"/>
      <c r="E21" s="33"/>
      <c r="F21" s="33"/>
      <c r="G21" s="87"/>
      <c r="H21" s="20"/>
      <c r="I21" s="1"/>
    </row>
    <row r="22" spans="1:9" x14ac:dyDescent="0.25">
      <c r="A22" s="1"/>
      <c r="B22" s="1"/>
      <c r="C22" s="1"/>
      <c r="D22" s="1"/>
      <c r="E22" s="1"/>
      <c r="F22" s="1"/>
      <c r="G22" s="97"/>
      <c r="H22" s="1"/>
      <c r="I22" s="1"/>
    </row>
    <row r="23" spans="1:9" x14ac:dyDescent="0.25">
      <c r="A23" s="1"/>
      <c r="B23" s="150" t="s">
        <v>150</v>
      </c>
      <c r="C23" s="151"/>
      <c r="D23" s="151"/>
      <c r="E23" s="151"/>
      <c r="F23" s="151"/>
      <c r="G23" s="152"/>
      <c r="H23" s="153"/>
      <c r="I23" s="1"/>
    </row>
    <row r="24" spans="1:9" x14ac:dyDescent="0.25">
      <c r="A24" s="1"/>
      <c r="B24" s="147" t="s">
        <v>61</v>
      </c>
      <c r="C24" s="148"/>
      <c r="D24" s="148"/>
      <c r="E24" s="148"/>
      <c r="F24" s="149"/>
      <c r="G24" s="91">
        <f>G18*(1-'Fane 15. Nøgletal'!C21)*(1+'Fane 15. Nøgletal'!C10)+G19*(1-'Fane 15. Nøgletal'!C22)*(1+'Fane 15. Nøgletal'!C11)</f>
        <v>99106902.310435832</v>
      </c>
      <c r="H24" s="14" t="s">
        <v>3</v>
      </c>
      <c r="I24" s="1"/>
    </row>
    <row r="25" spans="1:9" x14ac:dyDescent="0.25">
      <c r="A25" s="1"/>
      <c r="B25" s="154" t="s">
        <v>171</v>
      </c>
      <c r="C25" s="145"/>
      <c r="D25" s="145"/>
      <c r="E25" s="145"/>
      <c r="F25" s="146"/>
      <c r="G25" s="91">
        <f>G19*(1-'Fane 15. Nøgletal'!C22)*(1+'Fane 15. Nøgletal'!C11)</f>
        <v>174668.81890148701</v>
      </c>
      <c r="H25" s="14" t="s">
        <v>3</v>
      </c>
      <c r="I25" s="1"/>
    </row>
    <row r="26" spans="1:9" x14ac:dyDescent="0.25">
      <c r="A26" s="1"/>
      <c r="B26" s="144" t="s">
        <v>62</v>
      </c>
      <c r="C26" s="145"/>
      <c r="D26" s="145"/>
      <c r="E26" s="145"/>
      <c r="F26" s="146"/>
      <c r="G26" s="91">
        <v>4494422.3451035488</v>
      </c>
      <c r="H26" s="14" t="s">
        <v>3</v>
      </c>
      <c r="I26" s="1"/>
    </row>
    <row r="27" spans="1:9" x14ac:dyDescent="0.25">
      <c r="A27" s="1"/>
      <c r="B27" s="147" t="s">
        <v>63</v>
      </c>
      <c r="C27" s="148"/>
      <c r="D27" s="148"/>
      <c r="E27" s="148"/>
      <c r="F27" s="149"/>
      <c r="G27" s="91">
        <f>(G24-G25)*'Fane 15. Nøgletal'!C22+G25*'Fane 15. Nøgletal'!C23+G26*'Fane 15. Nøgletal'!C24</f>
        <v>989267.64032349852</v>
      </c>
      <c r="H27" s="14" t="s">
        <v>3</v>
      </c>
      <c r="I27" s="1"/>
    </row>
    <row r="28" spans="1:9" x14ac:dyDescent="0.25">
      <c r="A28" s="1"/>
      <c r="B28" s="32"/>
      <c r="C28" s="33"/>
      <c r="D28" s="33"/>
      <c r="E28" s="33"/>
      <c r="F28" s="33"/>
      <c r="G28" s="87"/>
      <c r="H28" s="20"/>
      <c r="I28" s="1"/>
    </row>
    <row r="29" spans="1:9" x14ac:dyDescent="0.25">
      <c r="A29" s="1"/>
      <c r="B29" s="1"/>
      <c r="C29" s="1"/>
      <c r="D29" s="1"/>
      <c r="E29" s="1"/>
      <c r="F29" s="1"/>
      <c r="G29" s="97"/>
      <c r="H29" s="1"/>
      <c r="I29" s="1"/>
    </row>
    <row r="30" spans="1:9" x14ac:dyDescent="0.25">
      <c r="A30" s="1"/>
      <c r="B30" s="150" t="s">
        <v>64</v>
      </c>
      <c r="C30" s="151"/>
      <c r="D30" s="151"/>
      <c r="E30" s="151"/>
      <c r="F30" s="151"/>
      <c r="G30" s="152"/>
      <c r="H30" s="153"/>
      <c r="I30" s="1"/>
    </row>
    <row r="31" spans="1:9" x14ac:dyDescent="0.25">
      <c r="A31" s="1"/>
      <c r="B31" s="147" t="s">
        <v>65</v>
      </c>
      <c r="C31" s="148"/>
      <c r="D31" s="148"/>
      <c r="E31" s="148"/>
      <c r="F31" s="149"/>
      <c r="G31" s="91">
        <f>(G24-G25)*(1-'Fane 15. Nøgletal'!C21)*(1+'Fane 15. Nøgletal'!C10)+G25*(1-'Fane 15. Nøgletal'!C22)*(1+'Fane 15. Nøgletal'!C11)+G26*(1-'Fane 15. Nøgletal'!C23)*(1+'Fane 15. Nøgletal'!C12)</f>
        <v>103510684.53845957</v>
      </c>
      <c r="H31" s="14" t="s">
        <v>3</v>
      </c>
      <c r="I31" s="1"/>
    </row>
    <row r="32" spans="1:9" x14ac:dyDescent="0.25">
      <c r="A32" s="1"/>
      <c r="B32" s="154" t="s">
        <v>172</v>
      </c>
      <c r="C32" s="145"/>
      <c r="D32" s="145"/>
      <c r="E32" s="145"/>
      <c r="F32" s="146"/>
      <c r="G32" s="91">
        <f>G25*(1-'Fane 15. Nøgletal'!C22)*(1+'Fane 15. Nøgletal'!C11)</f>
        <v>176075.42166003611</v>
      </c>
      <c r="H32" s="14" t="s">
        <v>3</v>
      </c>
      <c r="I32" s="1"/>
    </row>
    <row r="33" spans="1:9" x14ac:dyDescent="0.25">
      <c r="A33" s="1"/>
      <c r="B33" s="154" t="s">
        <v>106</v>
      </c>
      <c r="C33" s="145"/>
      <c r="D33" s="145"/>
      <c r="E33" s="145"/>
      <c r="F33" s="146"/>
      <c r="G33" s="91">
        <f>G26*(1-'Fane 15. Nøgletal'!C23)*(1+'Fane 15. Nøgletal'!C12)</f>
        <v>4452806.3312875098</v>
      </c>
      <c r="H33" s="14" t="s">
        <v>3</v>
      </c>
      <c r="I33" s="1"/>
    </row>
    <row r="34" spans="1:9" x14ac:dyDescent="0.25">
      <c r="A34" s="1"/>
      <c r="B34" s="147" t="s">
        <v>127</v>
      </c>
      <c r="C34" s="148"/>
      <c r="D34" s="148"/>
      <c r="E34" s="148"/>
      <c r="F34" s="149"/>
      <c r="G34" s="91">
        <v>1673990.88324804</v>
      </c>
      <c r="H34" s="14" t="s">
        <v>3</v>
      </c>
      <c r="I34" s="1"/>
    </row>
    <row r="35" spans="1:9" x14ac:dyDescent="0.25">
      <c r="A35" s="1"/>
      <c r="B35" s="147" t="s">
        <v>66</v>
      </c>
      <c r="C35" s="148"/>
      <c r="D35" s="148"/>
      <c r="E35" s="148"/>
      <c r="F35" s="149"/>
      <c r="G35" s="91">
        <f>(G31-SUM(G32:G33))*'Fane 15. Nøgletal'!C21+G32*'Fane 15. Nøgletal'!C22+G33*'Fane 15. Nøgletal'!C23+G34*'Fane 15. Nøgletal'!C24</f>
        <v>1924234.2145698916</v>
      </c>
      <c r="H35" s="14" t="s">
        <v>3</v>
      </c>
      <c r="I35" s="1"/>
    </row>
    <row r="36" spans="1:9" x14ac:dyDescent="0.25">
      <c r="A36" s="1"/>
      <c r="B36" s="32"/>
      <c r="C36" s="33"/>
      <c r="D36" s="33"/>
      <c r="E36" s="33"/>
      <c r="F36" s="33"/>
      <c r="G36" s="87"/>
      <c r="H36" s="20"/>
      <c r="I36" s="1"/>
    </row>
    <row r="37" spans="1:9" x14ac:dyDescent="0.25">
      <c r="A37" s="1"/>
      <c r="B37" s="1"/>
      <c r="C37" s="1"/>
      <c r="D37" s="1"/>
      <c r="E37" s="1"/>
      <c r="F37" s="1"/>
      <c r="G37" s="97"/>
      <c r="H37" s="1"/>
      <c r="I37" s="1"/>
    </row>
    <row r="38" spans="1:9" x14ac:dyDescent="0.25">
      <c r="A38" s="1"/>
      <c r="B38" s="150" t="s">
        <v>140</v>
      </c>
      <c r="C38" s="151"/>
      <c r="D38" s="151"/>
      <c r="E38" s="151"/>
      <c r="F38" s="151"/>
      <c r="G38" s="152"/>
      <c r="H38" s="153"/>
      <c r="I38" s="1"/>
    </row>
    <row r="39" spans="1:9" x14ac:dyDescent="0.25">
      <c r="A39" s="1"/>
      <c r="B39" s="147" t="s">
        <v>173</v>
      </c>
      <c r="C39" s="148"/>
      <c r="D39" s="148"/>
      <c r="E39" s="148"/>
      <c r="F39" s="149"/>
      <c r="G39" s="91">
        <f>(SUM(G31,G34)-G35)*(1+'Fane 15. Nøgletal'!C14)</f>
        <v>103601200.66312128</v>
      </c>
      <c r="H39" s="14" t="s">
        <v>3</v>
      </c>
      <c r="I39" s="1"/>
    </row>
    <row r="40" spans="1:9" x14ac:dyDescent="0.25">
      <c r="A40" s="1"/>
      <c r="B40" s="147" t="s">
        <v>141</v>
      </c>
      <c r="C40" s="148"/>
      <c r="D40" s="148"/>
      <c r="E40" s="148"/>
      <c r="F40" s="149"/>
      <c r="G40" s="91">
        <v>1256820.1324837401</v>
      </c>
      <c r="H40" s="14" t="s">
        <v>3</v>
      </c>
      <c r="I40" s="1"/>
    </row>
    <row r="41" spans="1:9" x14ac:dyDescent="0.25">
      <c r="A41" s="1"/>
      <c r="B41" s="147" t="s">
        <v>142</v>
      </c>
      <c r="C41" s="148"/>
      <c r="D41" s="148"/>
      <c r="E41" s="148"/>
      <c r="F41" s="149"/>
      <c r="G41" s="91">
        <f>(G39+G40)*'Fane 15. Nøgletal'!C25</f>
        <v>1551898.7077749544</v>
      </c>
      <c r="H41" s="14" t="s">
        <v>3</v>
      </c>
      <c r="I41" s="1"/>
    </row>
    <row r="42" spans="1:9" x14ac:dyDescent="0.25">
      <c r="A42" s="1"/>
      <c r="B42" s="32"/>
      <c r="C42" s="33"/>
      <c r="D42" s="33"/>
      <c r="E42" s="33"/>
      <c r="F42" s="33"/>
      <c r="G42" s="87"/>
      <c r="H42" s="20"/>
      <c r="I42" s="1"/>
    </row>
    <row r="43" spans="1:9" x14ac:dyDescent="0.25">
      <c r="A43" s="1"/>
      <c r="B43" s="1"/>
      <c r="C43" s="1"/>
      <c r="D43" s="1"/>
      <c r="E43" s="1"/>
      <c r="F43" s="1"/>
      <c r="G43" s="97"/>
      <c r="H43" s="1"/>
      <c r="I43" s="1"/>
    </row>
    <row r="44" spans="1:9" x14ac:dyDescent="0.25">
      <c r="A44" s="1"/>
      <c r="B44" s="150" t="s">
        <v>239</v>
      </c>
      <c r="C44" s="151"/>
      <c r="D44" s="151"/>
      <c r="E44" s="151"/>
      <c r="F44" s="151"/>
      <c r="G44" s="152"/>
      <c r="H44" s="153"/>
      <c r="I44" s="1"/>
    </row>
    <row r="45" spans="1:9" x14ac:dyDescent="0.25">
      <c r="A45" s="1"/>
      <c r="B45" s="147" t="s">
        <v>67</v>
      </c>
      <c r="C45" s="148"/>
      <c r="D45" s="148"/>
      <c r="E45" s="148"/>
      <c r="F45" s="149"/>
      <c r="G45" s="91">
        <f>(G39+G40-G41)*(1+'Fane 15. Nøgletal'!C14)</f>
        <v>103647032.29071991</v>
      </c>
      <c r="H45" s="14" t="s">
        <v>3</v>
      </c>
      <c r="I45" s="1"/>
    </row>
    <row r="46" spans="1:9" x14ac:dyDescent="0.25">
      <c r="A46" s="1"/>
      <c r="B46" s="154" t="s">
        <v>243</v>
      </c>
      <c r="C46" s="155"/>
      <c r="D46" s="155"/>
      <c r="E46" s="155"/>
      <c r="F46" s="156"/>
      <c r="G46" s="94">
        <f>(SUM('Fane 2.1. Økonomisk ramme 2023'!C13,'Fane 2.1. Økonomisk ramme 2023'!C15,'Fane 2.1. Økonomisk ramme 2023'!C17))*(1+'Fane 15. Nøgletal'!C15)</f>
        <v>289319.51970720006</v>
      </c>
      <c r="H46" s="14" t="s">
        <v>3</v>
      </c>
      <c r="I46" s="1"/>
    </row>
    <row r="47" spans="1:9" x14ac:dyDescent="0.25">
      <c r="A47" s="1"/>
      <c r="B47" s="147" t="s">
        <v>177</v>
      </c>
      <c r="C47" s="148"/>
      <c r="D47" s="148"/>
      <c r="E47" s="148"/>
      <c r="F47" s="149"/>
      <c r="G47" s="91">
        <f>G45*'Fane 15. Nøgletal'!C25+G46*'Fane 15. Nøgletal'!C26</f>
        <v>1533976.0779026547</v>
      </c>
      <c r="H47" s="14" t="s">
        <v>3</v>
      </c>
      <c r="I47" s="1"/>
    </row>
    <row r="48" spans="1:9" x14ac:dyDescent="0.25">
      <c r="A48" s="1"/>
      <c r="B48" s="32"/>
      <c r="C48" s="33"/>
      <c r="D48" s="33"/>
      <c r="E48" s="33"/>
      <c r="F48" s="33"/>
      <c r="G48" s="87"/>
      <c r="H48" s="20"/>
      <c r="I48" s="1"/>
    </row>
    <row r="49" spans="1:9" x14ac:dyDescent="0.25">
      <c r="A49" s="1"/>
      <c r="B49" s="1"/>
      <c r="C49" s="1"/>
      <c r="D49" s="1"/>
      <c r="E49" s="1"/>
      <c r="F49" s="1"/>
      <c r="G49" s="97"/>
      <c r="H49" s="1"/>
      <c r="I49" s="1"/>
    </row>
    <row r="50" spans="1:9" x14ac:dyDescent="0.25">
      <c r="A50" s="1"/>
      <c r="B50" s="150" t="s">
        <v>128</v>
      </c>
      <c r="C50" s="151"/>
      <c r="D50" s="151"/>
      <c r="E50" s="151"/>
      <c r="F50" s="151"/>
      <c r="G50" s="152"/>
      <c r="H50" s="153"/>
      <c r="I50" s="1"/>
    </row>
    <row r="51" spans="1:9" x14ac:dyDescent="0.25">
      <c r="A51" s="1"/>
      <c r="B51" s="147" t="s">
        <v>129</v>
      </c>
      <c r="C51" s="148"/>
      <c r="D51" s="148"/>
      <c r="E51" s="148"/>
      <c r="F51" s="149"/>
      <c r="G51" s="91">
        <f>(G45+G46-G47)*(1+'Fane 15. Nøgletal'!C15)</f>
        <v>106047900.30860233</v>
      </c>
      <c r="H51" s="14" t="s">
        <v>3</v>
      </c>
      <c r="I51" s="1"/>
    </row>
    <row r="52" spans="1:9" x14ac:dyDescent="0.25">
      <c r="A52" s="1"/>
      <c r="B52" s="147" t="s">
        <v>130</v>
      </c>
      <c r="C52" s="148"/>
      <c r="D52" s="148"/>
      <c r="E52" s="148"/>
      <c r="F52" s="149"/>
      <c r="G52" s="91">
        <f>(G51)*'Fane 15. Nøgletal'!C26</f>
        <v>0</v>
      </c>
      <c r="H52" s="14" t="s">
        <v>3</v>
      </c>
      <c r="I52" s="1"/>
    </row>
    <row r="53" spans="1:9" x14ac:dyDescent="0.25">
      <c r="A53" s="1"/>
      <c r="B53" s="32"/>
      <c r="C53" s="33"/>
      <c r="D53" s="33"/>
      <c r="E53" s="33"/>
      <c r="F53" s="33"/>
      <c r="G53" s="87"/>
      <c r="H53" s="20"/>
      <c r="I53" s="1"/>
    </row>
    <row r="54" spans="1:9" x14ac:dyDescent="0.25">
      <c r="A54" s="1"/>
      <c r="B54" s="1"/>
      <c r="C54" s="1"/>
      <c r="D54" s="1"/>
      <c r="E54" s="1"/>
      <c r="F54" s="1"/>
      <c r="G54" s="97"/>
      <c r="H54" s="1"/>
      <c r="I54" s="1"/>
    </row>
    <row r="55" spans="1:9" x14ac:dyDescent="0.25">
      <c r="A55" s="1"/>
      <c r="B55" s="150" t="s">
        <v>153</v>
      </c>
      <c r="C55" s="151"/>
      <c r="D55" s="151"/>
      <c r="E55" s="151"/>
      <c r="F55" s="151"/>
      <c r="G55" s="152"/>
      <c r="H55" s="153"/>
      <c r="I55" s="1"/>
    </row>
    <row r="56" spans="1:9" x14ac:dyDescent="0.25">
      <c r="A56" s="1"/>
      <c r="B56" s="147" t="s">
        <v>129</v>
      </c>
      <c r="C56" s="148"/>
      <c r="D56" s="148"/>
      <c r="E56" s="148"/>
      <c r="F56" s="149"/>
      <c r="G56" s="91">
        <f>(G51-G52)*(1+'Fane 15. Nøgletal'!C15)</f>
        <v>109823205.55958858</v>
      </c>
      <c r="H56" s="14" t="s">
        <v>3</v>
      </c>
      <c r="I56" s="1"/>
    </row>
    <row r="57" spans="1:9" x14ac:dyDescent="0.25">
      <c r="A57" s="1"/>
      <c r="B57" s="147" t="s">
        <v>174</v>
      </c>
      <c r="C57" s="148"/>
      <c r="D57" s="148"/>
      <c r="E57" s="148"/>
      <c r="F57" s="149"/>
      <c r="G57" s="91">
        <f>(G56)*'Fane 15. Nøgletal'!C26</f>
        <v>0</v>
      </c>
      <c r="H57" s="14" t="s">
        <v>3</v>
      </c>
      <c r="I57" s="1"/>
    </row>
    <row r="58" spans="1:9" x14ac:dyDescent="0.25">
      <c r="A58" s="1"/>
      <c r="B58" s="32"/>
      <c r="C58" s="33"/>
      <c r="D58" s="33"/>
      <c r="E58" s="33"/>
      <c r="F58" s="33"/>
      <c r="G58" s="87"/>
      <c r="H58" s="20"/>
      <c r="I58" s="1"/>
    </row>
    <row r="59" spans="1:9" x14ac:dyDescent="0.25">
      <c r="A59" s="1"/>
      <c r="B59" s="1"/>
      <c r="C59" s="1"/>
      <c r="D59" s="1"/>
      <c r="E59" s="1"/>
      <c r="F59" s="1"/>
      <c r="G59" s="97"/>
      <c r="H59" s="1"/>
      <c r="I59" s="1"/>
    </row>
    <row r="60" spans="1:9" x14ac:dyDescent="0.25">
      <c r="A60" s="1"/>
      <c r="B60" s="150" t="s">
        <v>207</v>
      </c>
      <c r="C60" s="151"/>
      <c r="D60" s="151"/>
      <c r="E60" s="151"/>
      <c r="F60" s="151"/>
      <c r="G60" s="152"/>
      <c r="H60" s="153"/>
      <c r="I60" s="1"/>
    </row>
    <row r="61" spans="1:9" x14ac:dyDescent="0.25">
      <c r="A61" s="1"/>
      <c r="B61" s="147" t="s">
        <v>208</v>
      </c>
      <c r="C61" s="148"/>
      <c r="D61" s="148"/>
      <c r="E61" s="148"/>
      <c r="F61" s="149"/>
      <c r="G61" s="91">
        <f>(G56-G57)*(1+'Fane 15. Nøgletal'!C15)</f>
        <v>113732911.67750995</v>
      </c>
      <c r="H61" s="14" t="s">
        <v>3</v>
      </c>
      <c r="I61" s="1"/>
    </row>
    <row r="62" spans="1:9" x14ac:dyDescent="0.25">
      <c r="A62" s="1"/>
      <c r="B62" s="147" t="s">
        <v>209</v>
      </c>
      <c r="C62" s="148"/>
      <c r="D62" s="148"/>
      <c r="E62" s="148"/>
      <c r="F62" s="149"/>
      <c r="G62" s="91">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Ms+U92r3VGveu/fZz9LzhSGVrETelAlh5dHBZZtoreOFpygwl3OAHxXxcDGA3qWSUNSNm0SRfNW9PCTxGLf/ag==" saltValue="qNqU8xJSGztJtxu72JIOUg==" spinCount="100000" sheet="1" objects="1" scenarios="1"/>
  <mergeCells count="41">
    <mergeCell ref="B55:H55"/>
    <mergeCell ref="B45:F45"/>
    <mergeCell ref="B56:F56"/>
    <mergeCell ref="B57:F57"/>
    <mergeCell ref="B46:F46"/>
    <mergeCell ref="B51:F51"/>
    <mergeCell ref="B52:F52"/>
    <mergeCell ref="B50:H50"/>
    <mergeCell ref="B47:F47"/>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7" t="s">
        <v>143</v>
      </c>
      <c r="C9" s="148"/>
      <c r="D9" s="148"/>
      <c r="E9" s="148"/>
      <c r="F9" s="149"/>
      <c r="G9" s="98">
        <v>1.7241604003127048E-2</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Ko5csCHlzG0ID5ka9bxRUtSqKJHWN5ASemJ9pOyE9EZJylv/nk9jCVg0zOAY+uolA2YZe8ALRF2XU8OU+Q5l4A==" saltValue="/mijrUBANPavLOY5vlKih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2022-12-01T08:27:13Z</dcterms:modified>
</cp:coreProperties>
</file>