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Denne_projektmappe" defaultThemeVersion="124226"/>
  <mc:AlternateContent xmlns:mc="http://schemas.openxmlformats.org/markup-compatibility/2006">
    <mc:Choice Requires="x15">
      <x15ac:absPath xmlns:x15ac="http://schemas.microsoft.com/office/spreadsheetml/2010/11/ac" url="E:\VAND\Sagsbehandling\Drikkevand\Verdo Vand AS (V206)\ØR2023\"/>
    </mc:Choice>
  </mc:AlternateContent>
  <bookViews>
    <workbookView xWindow="3120" yWindow="990" windowWidth="12750" windowHeight="4620" tabRatio="872"/>
  </bookViews>
  <sheets>
    <sheet name="1. Forside" sheetId="1" r:id="rId1"/>
    <sheet name="Fane 2.1. Økonomisk ramme 2023" sheetId="2" r:id="rId2"/>
    <sheet name="Fane 2.2. Økonomisk ramme 2024" sheetId="15" r:id="rId3"/>
    <sheet name="Fane 2.3. Økonomisk ramme 2025" sheetId="22" r:id="rId4"/>
    <sheet name="Fane 2.4. Økonomisk ramme 2026" sheetId="23" r:id="rId5"/>
    <sheet name="Fane 3. Omkostninger i ØR2022" sheetId="27" r:id="rId6"/>
    <sheet name="Fane 4.1. Gen. krav - drift" sheetId="30" r:id="rId7"/>
    <sheet name="Fane 4.2. Gen. krav - anlæg" sheetId="36" r:id="rId8"/>
    <sheet name="Fane 5. Individuelt eff. krav" sheetId="31" r:id="rId9"/>
    <sheet name="Fane 6. Ikke-påvirkelige omk." sheetId="19" r:id="rId10"/>
    <sheet name="Fane 7. Kontrol af ØR2021" sheetId="32" r:id="rId11"/>
    <sheet name="Fane 8. Skattesagen" sheetId="40" r:id="rId12"/>
    <sheet name="Fane 9. Anlægsprojekter (§ 19) " sheetId="11" r:id="rId13"/>
    <sheet name="Fane 10.1. Varige tillæg" sheetId="37" r:id="rId14"/>
    <sheet name="Fane 10.2. Engangstillæg" sheetId="39" r:id="rId15"/>
    <sheet name="Fane 11. Tilknyttet virksomhed" sheetId="29" r:id="rId16"/>
    <sheet name="Fane 12. Bortfald" sheetId="21" r:id="rId17"/>
    <sheet name="Fane 13. Nøgletal" sheetId="26" r:id="rId18"/>
  </sheets>
  <externalReferences>
    <externalReference r:id="rId19"/>
    <externalReference r:id="rId20"/>
    <externalReference r:id="rId21"/>
    <externalReference r:id="rId22"/>
  </externalReferences>
  <definedNames>
    <definedName name="Pris19">[1]Nøgletal!$C$5</definedName>
    <definedName name="Pris20">[2]Nøgletal!$C$6</definedName>
    <definedName name="Pris21">[2]Nøgletal!$C$7</definedName>
    <definedName name="Pris21UnderSpild">[2]Nøgletal!$E$7</definedName>
    <definedName name="PrisDecimal19">[3]Nøgletal!$B$5</definedName>
    <definedName name="PrisDecimal20">[3]Nøgletal!$B$6</definedName>
    <definedName name="PrisDecimal21">[3]Nøgletal!$B$7</definedName>
    <definedName name="PrisDecimal21UnderSpild">[3]Nøgletal!$D$7</definedName>
    <definedName name="PrisDecimal22">[3]Nøgletal!$B$8</definedName>
  </definedNames>
  <calcPr calcId="162913" calcMode="manual"/>
</workbook>
</file>

<file path=xl/calcChain.xml><?xml version="1.0" encoding="utf-8"?>
<calcChain xmlns="http://schemas.openxmlformats.org/spreadsheetml/2006/main">
  <c r="E29" i="32" l="1"/>
  <c r="E31" i="32" s="1"/>
  <c r="E17" i="32" l="1"/>
  <c r="E16" i="32"/>
  <c r="E32" i="27" l="1"/>
  <c r="C19" i="23"/>
  <c r="C19" i="22"/>
  <c r="C19" i="15"/>
  <c r="C31" i="2"/>
  <c r="G18" i="40" l="1"/>
  <c r="E25" i="32" l="1"/>
  <c r="F10" i="11" l="1"/>
  <c r="C17" i="15" l="1"/>
  <c r="C29" i="2"/>
  <c r="E12" i="39"/>
  <c r="C12" i="39"/>
  <c r="E11" i="29"/>
  <c r="E12" i="29" s="1"/>
  <c r="C14" i="2" s="1"/>
  <c r="C11" i="29"/>
  <c r="J11" i="11"/>
  <c r="H11" i="11"/>
  <c r="C14" i="19"/>
  <c r="C15" i="19" l="1"/>
  <c r="F11" i="11" l="1"/>
  <c r="E10" i="37" s="1"/>
  <c r="C10" i="37"/>
  <c r="C13" i="37" s="1"/>
  <c r="C14" i="37" s="1"/>
  <c r="C15" i="23" l="1"/>
  <c r="C15" i="22" l="1"/>
  <c r="C15" i="15"/>
  <c r="C12" i="29"/>
  <c r="G37" i="36" l="1"/>
  <c r="G37" i="30"/>
  <c r="G6" i="30" l="1"/>
  <c r="G10" i="30" s="1"/>
  <c r="G13" i="30" s="1"/>
  <c r="E13" i="39" l="1"/>
  <c r="C13" i="39"/>
  <c r="C23" i="2" s="1"/>
  <c r="C25" i="2" s="1"/>
  <c r="E13" i="37" l="1"/>
  <c r="E14" i="37" s="1"/>
  <c r="E13" i="21" l="1"/>
  <c r="E14" i="21" s="1"/>
  <c r="C13" i="21"/>
  <c r="C14" i="21" s="1"/>
  <c r="C11" i="2" l="1"/>
  <c r="C12" i="2"/>
  <c r="C24" i="2" l="1"/>
  <c r="C26" i="2" l="1"/>
  <c r="C27" i="2" s="1"/>
  <c r="G6" i="36"/>
  <c r="G10" i="36" s="1"/>
  <c r="G13" i="36" s="1"/>
  <c r="G17" i="36" l="1"/>
  <c r="G17" i="30"/>
  <c r="G20" i="30" s="1"/>
  <c r="G20" i="36" l="1"/>
  <c r="G24" i="30"/>
  <c r="G26" i="30" s="1"/>
  <c r="G24" i="36" l="1"/>
  <c r="G26" i="36" s="1"/>
  <c r="G30" i="36" s="1"/>
  <c r="G30" i="30"/>
  <c r="G32" i="30" s="1"/>
  <c r="G32" i="36" l="1"/>
  <c r="G36" i="36" s="1"/>
  <c r="G36" i="30" l="1"/>
  <c r="G38" i="30" l="1"/>
  <c r="G42" i="30" s="1"/>
  <c r="C9" i="2"/>
  <c r="C13" i="2"/>
  <c r="G43" i="30" l="1"/>
  <c r="C21" i="2"/>
  <c r="G44" i="30" l="1"/>
  <c r="C17" i="2" l="1"/>
  <c r="G48" i="30"/>
  <c r="G49" i="30" s="1"/>
  <c r="C10" i="2"/>
  <c r="G43" i="36" s="1"/>
  <c r="G38" i="36"/>
  <c r="G42" i="36" s="1"/>
  <c r="G53" i="30" l="1"/>
  <c r="C11" i="15" l="1"/>
  <c r="G54" i="30"/>
  <c r="G58" i="30" s="1"/>
  <c r="G59" i="30" s="1"/>
  <c r="E20" i="27"/>
  <c r="G44" i="36"/>
  <c r="C18" i="2" s="1"/>
  <c r="C8" i="2" l="1"/>
  <c r="C15" i="2" s="1"/>
  <c r="C16" i="2" s="1"/>
  <c r="C19" i="2" s="1"/>
  <c r="C8" i="15" s="1"/>
  <c r="E33" i="27"/>
  <c r="C11" i="22"/>
  <c r="G48" i="36"/>
  <c r="G49" i="36" l="1"/>
  <c r="G53" i="36" s="1"/>
  <c r="G54" i="36" s="1"/>
  <c r="C9" i="15"/>
  <c r="C10" i="15" s="1"/>
  <c r="C32" i="2"/>
  <c r="C11" i="23"/>
  <c r="C12" i="15" l="1"/>
  <c r="C13" i="15" s="1"/>
  <c r="C20" i="15" s="1"/>
  <c r="G58" i="36"/>
  <c r="G59" i="36" s="1"/>
  <c r="C12" i="22" l="1"/>
  <c r="C8" i="22"/>
  <c r="C9" i="22" s="1"/>
  <c r="C10" i="22" s="1"/>
  <c r="C12" i="23"/>
  <c r="C13" i="22" l="1"/>
  <c r="C20" i="22" s="1"/>
  <c r="C8" i="23" l="1"/>
  <c r="C9" i="23" s="1"/>
  <c r="C10" i="23" s="1"/>
  <c r="C13" i="23" s="1"/>
  <c r="C20" i="23" s="1"/>
</calcChain>
</file>

<file path=xl/sharedStrings.xml><?xml version="1.0" encoding="utf-8"?>
<sst xmlns="http://schemas.openxmlformats.org/spreadsheetml/2006/main" count="516" uniqueCount="257">
  <si>
    <t>Beskrivelse af investeringen</t>
  </si>
  <si>
    <t>Std. levetid (år)</t>
  </si>
  <si>
    <t>Afskrivning</t>
  </si>
  <si>
    <t>kr.</t>
  </si>
  <si>
    <t>Bilag A</t>
  </si>
  <si>
    <t>Indholdsfortegnelse</t>
  </si>
  <si>
    <t>Fane 2.1</t>
  </si>
  <si>
    <t>Fane 5</t>
  </si>
  <si>
    <t>Fane 8</t>
  </si>
  <si>
    <t>Individuelt effektiviseringskrav</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</si>
  <si>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</si>
  <si>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</si>
  <si>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</si>
  <si>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</si>
  <si>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</si>
  <si>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</si>
  <si>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</si>
  <si>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</si>
  <si>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</si>
  <si>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</si>
  <si>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</si>
  <si>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Prisudvikling til brug for nye omkostninger i ØR2018</t>
  </si>
  <si>
    <t>Videreførte omkostninger fra den økonomiske ramme for 2021</t>
  </si>
  <si>
    <t>Generelt effektiviseringskrav - Drift</t>
  </si>
  <si>
    <t>Generelt effektiviseringskrav - Anlæg</t>
  </si>
  <si>
    <t>Bortfald eller nedsættelse af omkostninger - Anlæg</t>
  </si>
  <si>
    <t>Bortfald eller nedsættelse af omkostninger - Drift</t>
  </si>
  <si>
    <t>Økonomisk ramme for 2022</t>
  </si>
  <si>
    <t>Finansielle omkostninger</t>
  </si>
  <si>
    <t>Anlægsomkostninger</t>
  </si>
  <si>
    <t>Beskrivelse af ikke-påvirkelige omkostninger</t>
  </si>
  <si>
    <t>- Heraf Faktisk eller planlagt genanbringelse af væsentlige indtægter</t>
  </si>
  <si>
    <t>Fane 2.3</t>
  </si>
  <si>
    <t>Fane 2.4</t>
  </si>
  <si>
    <t>Bortfald</t>
  </si>
  <si>
    <t>Nye tillæg - Drift</t>
  </si>
  <si>
    <t>Nye tillæg - Anlæg</t>
  </si>
  <si>
    <t>Prisudvikling til brug for nye omkostninger i ØR2020</t>
  </si>
  <si>
    <t>Driftsomkostninger i grundlaget til de økonomiske rammer for 2017</t>
  </si>
  <si>
    <t>Generelt effektiviseringskrav til driftsomkostningerne i ØR17</t>
  </si>
  <si>
    <t>Base for driftsomkostninger til de økonomiske rammer for 2018</t>
  </si>
  <si>
    <t>Nye driftsomkostninger til de økonomiske rammer for 2018</t>
  </si>
  <si>
    <t>Generelt effektiviseringskrav til driftsomkostningerne i ØR18</t>
  </si>
  <si>
    <t>Base for driftsomkostninger til de økonomiske rammer for 2019</t>
  </si>
  <si>
    <t>Nye driftsomkostninger til de økonomiske rammer for 2019</t>
  </si>
  <si>
    <t>Generelt effektiviseringskrav til driftsomkostningerne i ØR19</t>
  </si>
  <si>
    <t>Base for driftsomkostninger til de økonomiske rammer for 2020</t>
  </si>
  <si>
    <t>Nye driftsomkostninger til de økonomiske rammer for 2020</t>
  </si>
  <si>
    <t>Generelt effektiviseringskrav til driftsomkostningerne i ØR20</t>
  </si>
  <si>
    <t>Generelt effektiviseringskrav til driftsomkostninger i de økonomiske rammer for 2017</t>
  </si>
  <si>
    <t>Generelt effektiviseringskrav til driftsomkostninger i de økonomiske rammer for 2018</t>
  </si>
  <si>
    <t>Generelt effektiviseringskrav til driftsomkostninger i de økonomiske rammer for 2019</t>
  </si>
  <si>
    <t>Generelt effektiviseringskrav til driftsomkostninger i de økonomiske rammer for 2020</t>
  </si>
  <si>
    <t>Generelt effektiviseringskrav til anlægsomkostninger i de økonomiske rammer for 2017</t>
  </si>
  <si>
    <t>Generelt effektiviseringskrav til anlægsomkostningerne i ØR17</t>
  </si>
  <si>
    <t>Base for driftsomkostninger til de økonomiske rammer for 2021</t>
  </si>
  <si>
    <t>Anlægssomkostninger i grundlaget til de økonomiske rammer for 2017</t>
  </si>
  <si>
    <t>Generelt effektiviseringskrav til anlægsomkostninger i de økonomiske rammer for 2018</t>
  </si>
  <si>
    <t>Base for anlægsomkostninger til de økonomiske rammer for 2018</t>
  </si>
  <si>
    <t>Nye anlægsomkostninger til de økonomiske rammer for 2018</t>
  </si>
  <si>
    <t>Generelt effektiviseringskrav til anlægsomkostningerne i ØR18</t>
  </si>
  <si>
    <t>Generelt effektiviseringskrav til anlægsomkostninger i de økonomiske rammer for 2019</t>
  </si>
  <si>
    <t>Base for anlægsomkostninger til de økonomiske rammer for 2019</t>
  </si>
  <si>
    <t>Nye anlægsomkostninger til de økonomiske rammer for 2019</t>
  </si>
  <si>
    <t>Generelt effektiviseringskrav til anlægsomkostningerne i ØR19</t>
  </si>
  <si>
    <t>Generelt effektiviseringskrav til anlægsomkostninger i de økonomiske rammer for 2020</t>
  </si>
  <si>
    <t>Base for anlægsomkostninger til de økonomiske rammer for 2020</t>
  </si>
  <si>
    <t>Nye anlægsomkostninger til de økonomiske rammer for 2020</t>
  </si>
  <si>
    <t>Generelt effektiviseringskrav til anlægsomkostningerne i ØR20</t>
  </si>
  <si>
    <t>Base for anlægsomkostninger til de økonomiske rammer for 2021</t>
  </si>
  <si>
    <t>Vejledende generelt effektiviseringskrav til anlægsomkostningerne i ØR23</t>
  </si>
  <si>
    <t>Base for anlægsomkostninger til de vejledende økonomiske rammer for 2023</t>
  </si>
  <si>
    <t>Base for anlægsomkostninger til de vejledende økonomiske rammer for 2022</t>
  </si>
  <si>
    <t>Base for driftsomkostninger til de vejledende økonomiske rammer for 2023</t>
  </si>
  <si>
    <t>Base for driftsomkostninger til de vejledende økonomiske rammer for 2022</t>
  </si>
  <si>
    <t>Nye varige tillæg</t>
  </si>
  <si>
    <t>Engangstillæg - Drift</t>
  </si>
  <si>
    <t>Engangstillæg - Anlæg</t>
  </si>
  <si>
    <t>Fane 7</t>
  </si>
  <si>
    <t>Varige tillæg</t>
  </si>
  <si>
    <t>Engangstillæg</t>
  </si>
  <si>
    <t>Engangstillæg i alt</t>
  </si>
  <si>
    <t>Fane 5: Individuelt effektiviseringskrav</t>
  </si>
  <si>
    <t>Bortfald eller nedsættelse i alt i 2022-prisniveau</t>
  </si>
  <si>
    <t>Økonomisk ramme for 2023</t>
  </si>
  <si>
    <t>Bortfald eller nedsættelse fra og med de økonomiske rammer for 2023</t>
  </si>
  <si>
    <t>Generelt effektiviseringskrav på drift</t>
  </si>
  <si>
    <t>Generelt effektiviseringskrav på anlæg</t>
  </si>
  <si>
    <t>Engangstillæg til de økonomiske rammer for 2023</t>
  </si>
  <si>
    <t>Generelt effektiviseringskrav til anlægsomkostningerne</t>
  </si>
  <si>
    <t>Generelt effektiviseringskrav til driftsomkostningerne</t>
  </si>
  <si>
    <t>Fane 12</t>
  </si>
  <si>
    <t>Nøgletal</t>
  </si>
  <si>
    <t>Antal år i næste reguleringsperiode</t>
  </si>
  <si>
    <t>Fane 4.1</t>
  </si>
  <si>
    <t>Fane 4.2</t>
  </si>
  <si>
    <t>Fane 6</t>
  </si>
  <si>
    <t>Fane 11</t>
  </si>
  <si>
    <t>Fane 4.1: Generelt effektiviseringskrav til driftsomkostningerne</t>
  </si>
  <si>
    <t>Fane 4.2: Generelt effektiviseringskrav til anlægsomkostningerne</t>
  </si>
  <si>
    <t>Fane 6: Ikke-påvirkelige omkostninger</t>
  </si>
  <si>
    <t>Prisudvikling til brug for ØR2017-2018</t>
  </si>
  <si>
    <t>Prisudvikling til brug for ØR2019-2020</t>
  </si>
  <si>
    <t>Generelt effektiviseringskrav til brug for anlægsomkostninger i ØR2017-2018</t>
  </si>
  <si>
    <t>Generelt effektiviseringskrav til brug for nye anlægsomkostninger i ØR2018</t>
  </si>
  <si>
    <t>Generelt effektiviseringskrav til brug for anlægsomkostninger i ØR2019-2020</t>
  </si>
  <si>
    <t>Generelt effektiviseringskrav til brug for nye anlægsomkostninger i ØR2020</t>
  </si>
  <si>
    <t>Generelt effektiviseringskrav til brug for driftsomkostninger</t>
  </si>
  <si>
    <t>Korrektion af driftsomkostninger i grundlaget</t>
  </si>
  <si>
    <t>Korrektion af anlægsomkostninger i grundlaget</t>
  </si>
  <si>
    <t>Fane 3</t>
  </si>
  <si>
    <t>Tilknyttet virksomhed</t>
  </si>
  <si>
    <t>Tilknyttet virksomhed under hovedvirksomheden</t>
  </si>
  <si>
    <t>Beskrivelse af tilknyttet virksomhed</t>
  </si>
  <si>
    <t>Tidligere tilknyttet virksomhed - Drift</t>
  </si>
  <si>
    <t>Tidligere tilknyttet virksomhed - Anlæg</t>
  </si>
  <si>
    <t>Videreførte omkostninger fra den økonomiske ramme for 2022</t>
  </si>
  <si>
    <t>Videreførte omkostninger fra den økonomiske ramme for 2023</t>
  </si>
  <si>
    <t>Prisudvikling til brug for nye omkostninger i ØR2021</t>
  </si>
  <si>
    <t>Engangstillæg i alt i 2023-prisniveau</t>
  </si>
  <si>
    <t>Generelt effektiviseringskrav til brug for nye anlægsomkostninger i ØR2021</t>
  </si>
  <si>
    <t>Nye driftsomkostninger til de økonomiske rammer for 2021</t>
  </si>
  <si>
    <t>Base for driftsomkostninger til de vejledende økonomiske rammer for 2024</t>
  </si>
  <si>
    <t>Nye anlægsomkostninger til de økonomiske rammer for 2021</t>
  </si>
  <si>
    <t>Base for anlægsomkostninger til de vejledende økonomiske rammer for 2024</t>
  </si>
  <si>
    <t>Vejledende generelt effektiviseringskrav til anlægsomkostningerne i ØR24</t>
  </si>
  <si>
    <t>Generelt effektiviseringskrav til driftsomkostningerne i ØR21</t>
  </si>
  <si>
    <t>Kontrol med de økonomiske rammer til indregning</t>
  </si>
  <si>
    <t>Kontrol med overholdelse af økonomiske rammer</t>
  </si>
  <si>
    <t>Kontrol med overholdelse af den økonomiske ramme</t>
  </si>
  <si>
    <t>Generelt effektiviseringskrav til anlægsomkostninger i de økonomiske rammer for 2021</t>
  </si>
  <si>
    <t>Generelt effektiviseringskrav til anlægsomkostningerne i ØR21</t>
  </si>
  <si>
    <t>Generelt effektiviseringskrav til driftsomkostninger i de økonomiske rammer for 2021</t>
  </si>
  <si>
    <t>Generelt effektiviseringskrav til driftsomkostninger i de økonomiske rammer for 2022</t>
  </si>
  <si>
    <t>Generelt effektiviseringskrav til driftsomkostningerne i ØR22</t>
  </si>
  <si>
    <t>Generelt effektiviseringskrav til anlægsomkostninger i de økonomiske rammer for 2022</t>
  </si>
  <si>
    <t>Generelt effektiviseringskrav til anlægsomkostningerne i ØR22</t>
  </si>
  <si>
    <t>Vejledende økonomisk ramme for 2025</t>
  </si>
  <si>
    <t>Økonomisk ramme for 2024</t>
  </si>
  <si>
    <t>Videreførte omkostninger fra den økonomiske ramme for 2024</t>
  </si>
  <si>
    <t>Økonomisk ramme for 2025</t>
  </si>
  <si>
    <t>Nye anlægsomkostninger i de økonomiske rammer for 2022</t>
  </si>
  <si>
    <t>Generelt effektiviseringskrav til anlægsomkostninger i de vejledende økonomiske rammer for 2025</t>
  </si>
  <si>
    <t>Base for anlægsomkostninger til de vejledende økonomiske rammer for 2025</t>
  </si>
  <si>
    <t>Vejledende generelt effektiviseringskrav til anlægsomkostningerne i ØR25</t>
  </si>
  <si>
    <t>Generelt effektiviseringskrav til driftsomkostninger i de vejledende økonomiske rammer for 2025</t>
  </si>
  <si>
    <t>Base for driftsomkostninger til de vejledende økonomiske rammer for 2025</t>
  </si>
  <si>
    <t>Vejledende generelt effektiviseringskrav til driftsomkostningerne i ØR25</t>
  </si>
  <si>
    <t>Nye tillæg i alt i 2021-prisniveau</t>
  </si>
  <si>
    <t>Tilknyttet virksomhed under hovedvirksomheden i alt (2021-prisniveau)</t>
  </si>
  <si>
    <t>Prisudvikling til brug for nye omkostninger i ØR2022</t>
  </si>
  <si>
    <t>Generelt effektiviseringskrav til brug for nye anlægsomkostninger i ØR2022</t>
  </si>
  <si>
    <t>Nye driftsomkostninger til de økonomiske rammer for 2022</t>
  </si>
  <si>
    <t xml:space="preserve">Indtægter fra tilbagebetalt skat eller sambeskatningsbidrag som følge af skattesagen </t>
  </si>
  <si>
    <t xml:space="preserve">Nedsættelse af økonomisk ramme som følge af skattesagen </t>
  </si>
  <si>
    <t>Tidligere opgjorte kontrol med overholdelse af økonomiske rammer</t>
  </si>
  <si>
    <t>Over/underdækning i 2019</t>
  </si>
  <si>
    <t>Allerede indregnet fradrag i jeres økonomiske rammer</t>
  </si>
  <si>
    <t xml:space="preserve">Note: Opgørelsen af indregnede fradrag er taget fra jeres tidligere fremsendte økonomiske rammer og statusmeddelelser. I kan derfor ikke komme med høringssvar til denne opgørelse. </t>
  </si>
  <si>
    <t>Korrektion af tidligere rammer</t>
  </si>
  <si>
    <t>Engangskorrektion vedrørende erstatninger</t>
  </si>
  <si>
    <t>Samlet økonomisk ramme for 2023</t>
  </si>
  <si>
    <t>Vejledende økonomisk ramme for 2026</t>
  </si>
  <si>
    <t>Omkostninger i ØR2022</t>
  </si>
  <si>
    <t>Kontrol af den økonomiske ramme for 2021</t>
  </si>
  <si>
    <t>Fane 2.1: Samlet økonomisk ramme for 2023</t>
  </si>
  <si>
    <t>Fane 2.2: Samlet økonomisk ramme for 2024</t>
  </si>
  <si>
    <t>Fane 2.3: Samlet økonomisk ramme for 2025</t>
  </si>
  <si>
    <t>Fane 2.4: Samlet økonomisk ramme for 2026</t>
  </si>
  <si>
    <t>Videreførte omkostninger fra den økonomiske ramme for 2025</t>
  </si>
  <si>
    <t>Økonomisk ramme for 2026</t>
  </si>
  <si>
    <t>Fane 3: Videreførte omkostninger fra den økonomiske ramme for 2022</t>
  </si>
  <si>
    <t>Oversigt over den økonomiske ramme for 2022</t>
  </si>
  <si>
    <t xml:space="preserve">Note: Denne opgørelse er taget fra jeres afgørelse for den økonomiske ramme for 2022. I kan derfor ikke komme med høringssvar til denne opgørelse. </t>
  </si>
  <si>
    <t>Generelt effektiviseringskrav til driftsomkostninger i de vejledende økonomiske rammer for 2026</t>
  </si>
  <si>
    <t>Base for driftsomkostninger til de vejledende økonomiske rammer for 2026</t>
  </si>
  <si>
    <t>Vejledende generelt effektiviseringskrav til driftsomkostningerne i ØR26</t>
  </si>
  <si>
    <t>Generelt effektiviseringskrav til anlægsomkostninger i de vejledende økonomiske rammer for 2026</t>
  </si>
  <si>
    <t>Base for anlægsomkostninger til de vejledende økonomiske rammer for 2026</t>
  </si>
  <si>
    <t>Vejledende generelt effektiviseringskrav til anlægsomkostningerne i ØR26</t>
  </si>
  <si>
    <t>Individuelt effektiviseringskrav til de økonomiske rammer for 2023-2024</t>
  </si>
  <si>
    <t>Faktiske ikke-påvirkelige omkostninger i 2021</t>
  </si>
  <si>
    <t>Ikke-påvirkelige omkostninger i 2021-prisniveau</t>
  </si>
  <si>
    <t>Ikke-påvirkelige omkostninger i 2023-prisniveau</t>
  </si>
  <si>
    <t>Fane 7: Kontrol med overholdelse af den økonomiske ramme for 2021</t>
  </si>
  <si>
    <t>Over/underdækning i 2020</t>
  </si>
  <si>
    <t>Kontrol med overholdelse af den økonomiske ramme for 2021</t>
  </si>
  <si>
    <t>Faktiske indtægter i 2021</t>
  </si>
  <si>
    <t>Nye tillæg i alt i 2022-prisniveau</t>
  </si>
  <si>
    <t>Tilknyttet virksomhed under hovedvirksomheden i alt (2022-prisniveau)</t>
  </si>
  <si>
    <t xml:space="preserve">Prisudvikling til brug for nye omkostninger i ØR2023 </t>
  </si>
  <si>
    <t>Generelt effektiviseringskrav til brug for nye anlægsomkostninger i ØR2023</t>
  </si>
  <si>
    <t>Anlægsprojekter igangsat senest den 1. marts 2016</t>
  </si>
  <si>
    <t>Anlægsprojekter igangsat senest den 1. marts 2016 i alt</t>
  </si>
  <si>
    <t>Til økonomiske rammer for 2023-2024</t>
  </si>
  <si>
    <t>Engangstillæg i alt i 2021-prisniveau</t>
  </si>
  <si>
    <t>Bortfald eller nedsættelse i alt i 2021-prisniveau</t>
  </si>
  <si>
    <t>Nye varige driftsomkostninger til de økonomiske rammer for 2023</t>
  </si>
  <si>
    <t>Generelt effektiviseringskrav til driftsomkostninger i de økonomiske rammer for 2023</t>
  </si>
  <si>
    <t>Generelt effektiviseringskrav til driftsomkostninger i de økonomiske rammer for 2024</t>
  </si>
  <si>
    <t>Generelt effektiviseringskrav til anlægsomkostninger i de økonomiske rammer for 2023</t>
  </si>
  <si>
    <t>Generelt effektiviseringskrav til anlægsomkostninger i de økonomiske rammer for 2024</t>
  </si>
  <si>
    <t>Beregningen af jeres individuelle effektiviseringskrav fremgår af metodepapir samt bilag til benchmarkingmodellen 2023</t>
  </si>
  <si>
    <t>Anlægsprojekter igangsat inden 1. marts 2016</t>
  </si>
  <si>
    <t>Samlet økonomisk ramme for 2024</t>
  </si>
  <si>
    <t xml:space="preserve">Anlægsprojekter (§ 19) </t>
  </si>
  <si>
    <t>Effektiviseringskrav (generelt og individuelt) – Drift</t>
  </si>
  <si>
    <t>Effektiviseringskrav (generelt og individuelt) – Anlæg</t>
  </si>
  <si>
    <t>Generelt effektiviseringskrav til driftsomkostningerne i ØR23</t>
  </si>
  <si>
    <t>Generelt effektiviseringskrav til driftsomkostningerne i ØR24</t>
  </si>
  <si>
    <t xml:space="preserve"> </t>
  </si>
  <si>
    <t>Nye anlægsomkostninger til de økonomiske rammer for 2023</t>
  </si>
  <si>
    <t>Omkostninger i 2021</t>
  </si>
  <si>
    <t>Anskaffelses-pris</t>
  </si>
  <si>
    <t>Drifts-omkostninger</t>
  </si>
  <si>
    <t>Fane 9</t>
  </si>
  <si>
    <t>Fane 10.1</t>
  </si>
  <si>
    <t>Fane 10.2</t>
  </si>
  <si>
    <t>Fane 13</t>
  </si>
  <si>
    <t>Skattesagen</t>
  </si>
  <si>
    <t>Fane 9: Anlægsprojekter igangsat senest den 1. marts 2016</t>
  </si>
  <si>
    <t>Fane 10.1: Varige tillæg</t>
  </si>
  <si>
    <t>Fane 10.2: Engangstillæg</t>
  </si>
  <si>
    <t>Fane 11: Tilknyttet virksomhed under hovedvirksomheden</t>
  </si>
  <si>
    <t>Fane 12: Bortfald eller nedsættelse af omkostninger til mål, medfinansiering eller udvidelse</t>
  </si>
  <si>
    <t>Fane 13: Nøgletal</t>
  </si>
  <si>
    <t>Fane 8: Indtægter til tilbagebetaling som følge af skattesagen</t>
  </si>
  <si>
    <t>Tilbagebetaling af indtægter som følge af skattesagen (jf. § 18 stk. 6)</t>
  </si>
  <si>
    <t>Fradrag i de økonomiske ramme i årene</t>
  </si>
  <si>
    <t>Samlet tilbagebetaling</t>
  </si>
  <si>
    <t>Afgift for ledningsført vand</t>
  </si>
  <si>
    <t>Afgift til Forsyningssekretariatet</t>
  </si>
  <si>
    <t>Ejendomsskat</t>
  </si>
  <si>
    <t>Tjenestemandspensioner</t>
  </si>
  <si>
    <t>Korrigeret over/underdækning i 2019</t>
  </si>
  <si>
    <t>Indregnet fradrag i den økonomiske ramme for 2023</t>
  </si>
  <si>
    <t>Indregnet fradrag i den økonomiske ramme for 2024</t>
  </si>
  <si>
    <t>Den økonomiske ramme for 2021</t>
  </si>
  <si>
    <t>Til indregning i de økonomiske rammer for 2023-2024</t>
  </si>
  <si>
    <t>Ingen anlægsprojekter</t>
  </si>
  <si>
    <t>Ingen tilknyttet virksomhed under hovedvirksomheden</t>
  </si>
  <si>
    <t>Ingen bortfald eller nedsættelse</t>
  </si>
  <si>
    <t>Flytning af forsyningsledning</t>
  </si>
  <si>
    <t>Byggemodninger</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</si>
  <si>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</si>
  <si>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</si>
  <si>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</si>
  <si>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</si>
  <si>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</si>
  <si>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</si>
  <si>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</si>
  <si>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</si>
  <si>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Note: Opgørelsen af overholdelse af de økonomiske rammer og korrektioner heraf er taget fra jeres tidligere fremsendte økonomiske rammer og statusmeddelelser. I kan derfor ikke komme med høringssvar til denne opgørelse. Positive værdier er udtryk for at rammerne er overholdt (underdækning) og negative værdier er udtryk for at rammerne ikke er overholdt (overdækning). Korrigeret over/underdækning i 2020 tager højde for evt. modregninger af over/underdækninger fra tidligere år.</t>
  </si>
  <si>
    <t>Resultat af kontrol med overholdelse af den økonomiske ramme for 2021</t>
  </si>
  <si>
    <t>- heraf driftsomkostninger for Fyrrebakkens Vandværk for 2017</t>
  </si>
  <si>
    <t>- heraf anlægsomkostninger for Fyrrebakkens Vandværk for 2017</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</si>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</sst>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 #,##0.00_ ;_ * \-#,##0.00_ ;_ * &quot;-&quot;??_ ;_ @_ "/>
    <numFmt numFmtId="165" formatCode="_ * #,##0_ ;_ * \-#,##0_ ;_ * &quot;-&quot;??_ ;_ @_ "/>
    <numFmt numFmtId="166" formatCode="##,##0"/>
  </numFmts>
  <fonts count="16"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b/>
      <sz val="10"/>
      <color theme="1"/>
      <name val="Times New Roman"/>
      <family val="1"/>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4"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54">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49" fontId="8" fillId="8" borderId="2" xfId="0" applyNumberFormat="1" applyFont="1" applyFill="1" applyBorder="1" applyAlignment="1" applyProtection="1"/>
    <xf numFmtId="0" fontId="8" fillId="8" borderId="2" xfId="0" quotePrefix="1" applyFont="1" applyFill="1" applyBorder="1" applyAlignment="1" applyProtection="1">
      <alignment horizontal="left" wrapText="1"/>
    </xf>
    <xf numFmtId="0" fontId="8" fillId="8" borderId="1" xfId="0" applyFont="1" applyFill="1" applyBorder="1" applyAlignment="1" applyProtection="1"/>
    <xf numFmtId="0" fontId="7" fillId="3" borderId="1" xfId="0" applyFont="1" applyFill="1" applyBorder="1" applyAlignment="1" applyProtection="1"/>
    <xf numFmtId="49" fontId="8" fillId="8" borderId="2" xfId="0" applyNumberFormat="1" applyFont="1" applyFill="1" applyBorder="1" applyAlignment="1" applyProtection="1">
      <alignment horizontal="left"/>
    </xf>
    <xf numFmtId="3" fontId="8" fillId="8" borderId="1" xfId="0" quotePrefix="1" applyNumberFormat="1" applyFont="1" applyFill="1" applyBorder="1" applyProtection="1"/>
    <xf numFmtId="10" fontId="8" fillId="8" borderId="1" xfId="0" applyNumberFormat="1" applyFont="1" applyFill="1" applyBorder="1" applyProtection="1"/>
    <xf numFmtId="1" fontId="8" fillId="0" borderId="1" xfId="0" applyNumberFormat="1" applyFont="1" applyFill="1" applyBorder="1" applyProtection="1"/>
    <xf numFmtId="3" fontId="0" fillId="2" borderId="0" xfId="0" applyNumberFormat="1" applyFill="1" applyProtection="1"/>
    <xf numFmtId="3" fontId="14" fillId="4" borderId="1" xfId="0" applyNumberFormat="1" applyFont="1" applyFill="1" applyBorder="1" applyProtection="1"/>
    <xf numFmtId="3" fontId="15" fillId="3" borderId="1" xfId="0" applyNumberFormat="1" applyFont="1" applyFill="1" applyBorder="1" applyProtection="1"/>
    <xf numFmtId="0" fontId="8" fillId="4" borderId="2" xfId="0" applyFont="1" applyFill="1" applyBorder="1" applyAlignment="1" applyProtection="1"/>
    <xf numFmtId="0" fontId="14" fillId="4" borderId="1" xfId="0" applyFont="1" applyFill="1" applyBorder="1" applyAlignment="1" applyProtection="1">
      <alignment wrapText="1"/>
    </xf>
    <xf numFmtId="0" fontId="15" fillId="3" borderId="2" xfId="0" applyFont="1" applyFill="1" applyBorder="1" applyAlignment="1" applyProtection="1"/>
    <xf numFmtId="3" fontId="7" fillId="3" borderId="6" xfId="0" applyNumberFormat="1" applyFont="1" applyFill="1" applyBorder="1" applyAlignment="1" applyProtection="1"/>
    <xf numFmtId="0" fontId="15" fillId="3" borderId="1" xfId="0" applyFont="1" applyFill="1" applyBorder="1" applyProtection="1"/>
    <xf numFmtId="0" fontId="15" fillId="3" borderId="6" xfId="0" applyFont="1" applyFill="1" applyBorder="1" applyAlignment="1" applyProtection="1"/>
    <xf numFmtId="1" fontId="8" fillId="8" borderId="1" xfId="1" applyNumberFormat="1" applyFont="1" applyFill="1" applyBorder="1" applyProtection="1"/>
    <xf numFmtId="0" fontId="0" fillId="8" borderId="0" xfId="0" applyFill="1" applyProtection="1"/>
    <xf numFmtId="165" fontId="7" fillId="3" borderId="6" xfId="1" applyNumberFormat="1" applyFont="1" applyFill="1" applyBorder="1" applyAlignment="1" applyProtection="1"/>
    <xf numFmtId="165" fontId="0" fillId="2" borderId="0" xfId="1" applyNumberFormat="1" applyFont="1" applyFill="1" applyProtection="1"/>
    <xf numFmtId="165" fontId="0" fillId="0" borderId="0" xfId="1" applyNumberFormat="1" applyFont="1" applyProtection="1"/>
    <xf numFmtId="0" fontId="0" fillId="2" borderId="0" xfId="0" applyFill="1" applyAlignment="1" applyProtection="1">
      <alignment horizontal="right"/>
    </xf>
    <xf numFmtId="0" fontId="7" fillId="3" borderId="3" xfId="0" applyFont="1" applyFill="1" applyBorder="1" applyAlignment="1" applyProtection="1">
      <alignment horizontal="right"/>
    </xf>
    <xf numFmtId="10" fontId="8" fillId="8" borderId="1" xfId="4" applyNumberFormat="1" applyFont="1" applyFill="1" applyBorder="1" applyAlignment="1" applyProtection="1">
      <alignment horizontal="right"/>
    </xf>
    <xf numFmtId="10" fontId="8" fillId="0" borderId="3" xfId="4" applyNumberFormat="1" applyFont="1" applyFill="1" applyBorder="1" applyAlignment="1" applyProtection="1">
      <alignment horizontal="right"/>
    </xf>
    <xf numFmtId="10" fontId="8" fillId="0" borderId="1" xfId="4" applyNumberFormat="1" applyFont="1" applyFill="1" applyBorder="1" applyAlignment="1" applyProtection="1">
      <alignment horizontal="right"/>
    </xf>
    <xf numFmtId="0" fontId="0" fillId="0" borderId="0" xfId="0" applyAlignment="1" applyProtection="1">
      <alignment horizontal="right"/>
    </xf>
    <xf numFmtId="1" fontId="8" fillId="4" borderId="1" xfId="1" applyNumberFormat="1" applyFont="1" applyFill="1" applyBorder="1" applyProtection="1"/>
    <xf numFmtId="0" fontId="8" fillId="4" borderId="2" xfId="0" applyFont="1" applyFill="1" applyBorder="1" applyAlignment="1" applyProtection="1">
      <alignment horizontal="left"/>
    </xf>
    <xf numFmtId="0" fontId="8" fillId="4" borderId="6" xfId="0" applyFont="1" applyFill="1" applyBorder="1" applyAlignment="1" applyProtection="1">
      <alignment horizontal="left"/>
    </xf>
    <xf numFmtId="0" fontId="8" fillId="4" borderId="3" xfId="0" applyFont="1" applyFill="1" applyBorder="1" applyAlignment="1" applyProtection="1">
      <alignment horizontal="left"/>
    </xf>
    <xf numFmtId="0" fontId="8" fillId="0" borderId="1" xfId="0" applyFont="1" applyFill="1" applyBorder="1" applyProtection="1"/>
    <xf numFmtId="0" fontId="0" fillId="0" borderId="0" xfId="0" applyFill="1" applyProtection="1"/>
    <xf numFmtId="3" fontId="8" fillId="0" borderId="1" xfId="0" applyNumberFormat="1" applyFont="1" applyFill="1" applyBorder="1" applyProtection="1"/>
    <xf numFmtId="3" fontId="8" fillId="4" borderId="2" xfId="0" applyNumberFormat="1" applyFont="1" applyFill="1" applyBorder="1" applyAlignment="1" applyProtection="1">
      <alignment horizontal="right"/>
    </xf>
    <xf numFmtId="166" fontId="8" fillId="8" borderId="1" xfId="1" applyNumberFormat="1" applyFont="1" applyFill="1" applyBorder="1" applyProtection="1"/>
    <xf numFmtId="166" fontId="7" fillId="3" borderId="6" xfId="1" applyNumberFormat="1" applyFont="1" applyFill="1" applyBorder="1" applyAlignment="1" applyProtection="1"/>
    <xf numFmtId="166" fontId="0" fillId="2" borderId="0" xfId="1" applyNumberFormat="1" applyFont="1" applyFill="1" applyProtection="1"/>
    <xf numFmtId="166" fontId="7" fillId="3" borderId="6" xfId="0" applyNumberFormat="1" applyFont="1" applyFill="1" applyBorder="1" applyAlignment="1" applyProtection="1"/>
    <xf numFmtId="166" fontId="0" fillId="2" borderId="0" xfId="0" applyNumberFormat="1" applyFill="1" applyProtection="1"/>
    <xf numFmtId="166" fontId="8" fillId="8" borderId="1" xfId="0" applyNumberFormat="1" applyFont="1" applyFill="1" applyBorder="1" applyProtection="1"/>
    <xf numFmtId="165" fontId="8" fillId="8" borderId="1" xfId="1" applyNumberFormat="1" applyFont="1" applyFill="1" applyBorder="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4" borderId="1" xfId="0" applyFont="1" applyFill="1" applyBorder="1" applyAlignment="1" applyProtection="1">
      <alignment horizontal="left"/>
    </xf>
    <xf numFmtId="0" fontId="8" fillId="8" borderId="2"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9" borderId="8"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9" xfId="2" applyFont="1" applyFill="1" applyBorder="1" applyAlignment="1" applyProtection="1">
      <alignment horizont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8" borderId="2" xfId="0" quotePrefix="1" applyFont="1" applyFill="1" applyBorder="1" applyAlignment="1" applyProtection="1">
      <alignment wrapText="1"/>
    </xf>
    <xf numFmtId="0" fontId="8" fillId="8" borderId="6" xfId="0" quotePrefix="1" applyFont="1" applyFill="1" applyBorder="1" applyAlignment="1" applyProtection="1">
      <alignment wrapText="1"/>
    </xf>
    <xf numFmtId="0" fontId="8" fillId="8" borderId="3" xfId="0" quotePrefix="1" applyFont="1" applyFill="1" applyBorder="1" applyAlignment="1" applyProtection="1">
      <alignment wrapText="1"/>
    </xf>
    <xf numFmtId="0" fontId="14" fillId="4" borderId="2" xfId="0" applyFont="1" applyFill="1" applyBorder="1" applyAlignment="1" applyProtection="1"/>
    <xf numFmtId="0" fontId="14" fillId="4" borderId="6" xfId="0" applyFont="1" applyFill="1" applyBorder="1" applyAlignment="1" applyProtection="1"/>
    <xf numFmtId="0" fontId="14" fillId="4" borderId="3" xfId="0" applyFont="1" applyFill="1" applyBorder="1" applyAlignment="1" applyProtection="1"/>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7" fillId="3" borderId="2" xfId="0" applyFont="1" applyFill="1" applyBorder="1" applyAlignment="1" applyProtection="1"/>
    <xf numFmtId="0" fontId="7" fillId="3" borderId="6" xfId="0" applyFont="1" applyFill="1" applyBorder="1" applyAlignment="1" applyProtection="1"/>
    <xf numFmtId="0" fontId="8" fillId="4" borderId="2" xfId="0" applyFont="1" applyFill="1" applyBorder="1" applyAlignment="1" applyProtection="1">
      <alignment wrapText="1"/>
    </xf>
    <xf numFmtId="0" fontId="8" fillId="4" borderId="6"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Alignment="1" applyProtection="1">
      <alignment horizontal="center" vertical="center" wrapText="1"/>
    </xf>
    <xf numFmtId="0" fontId="8" fillId="8" borderId="2" xfId="0" applyFont="1" applyFill="1" applyBorder="1" applyAlignment="1" applyProtection="1">
      <alignment wrapText="1"/>
    </xf>
    <xf numFmtId="0" fontId="8" fillId="8" borderId="6" xfId="0" applyFont="1" applyFill="1" applyBorder="1" applyAlignment="1" applyProtection="1">
      <alignment wrapText="1"/>
    </xf>
    <xf numFmtId="0" fontId="8" fillId="8" borderId="3" xfId="0" applyFont="1" applyFill="1" applyBorder="1" applyAlignment="1" applyProtection="1">
      <alignment wrapText="1"/>
    </xf>
    <xf numFmtId="0" fontId="8" fillId="8" borderId="2" xfId="0" applyFont="1" applyFill="1" applyBorder="1" applyAlignment="1" applyProtection="1">
      <alignment horizontal="left"/>
    </xf>
    <xf numFmtId="0" fontId="8" fillId="8" borderId="6" xfId="0" applyFont="1" applyFill="1" applyBorder="1" applyAlignment="1" applyProtection="1">
      <alignment horizontal="left"/>
    </xf>
    <xf numFmtId="0" fontId="8" fillId="8" borderId="3" xfId="0" applyFont="1" applyFill="1" applyBorder="1" applyAlignment="1" applyProtection="1">
      <alignment horizontal="left"/>
    </xf>
    <xf numFmtId="0" fontId="8" fillId="8" borderId="2" xfId="0" applyFont="1" applyFill="1" applyBorder="1" applyAlignment="1" applyProtection="1"/>
    <xf numFmtId="0" fontId="8" fillId="8" borderId="6" xfId="0" applyFont="1" applyFill="1" applyBorder="1" applyAlignment="1" applyProtection="1"/>
    <xf numFmtId="0" fontId="8" fillId="8" borderId="3" xfId="0" applyFont="1" applyFill="1" applyBorder="1" applyAlignment="1" applyProtection="1"/>
    <xf numFmtId="166" fontId="7" fillId="3" borderId="6" xfId="0" applyNumberFormat="1" applyFont="1" applyFill="1" applyBorder="1" applyAlignment="1" applyProtection="1">
      <alignment horizontal="left"/>
    </xf>
    <xf numFmtId="0" fontId="2" fillId="2" borderId="0" xfId="0" applyFont="1" applyFill="1" applyAlignment="1" applyProtection="1">
      <alignment horizontal="center" wrapText="1"/>
    </xf>
    <xf numFmtId="0" fontId="0" fillId="0" borderId="0" xfId="0" applyAlignment="1" applyProtection="1">
      <alignment horizontal="center" wrapText="1"/>
    </xf>
    <xf numFmtId="0" fontId="0" fillId="0" borderId="7" xfId="0" applyBorder="1" applyAlignment="1" applyProtection="1">
      <alignment horizontal="center" wrapText="1"/>
    </xf>
    <xf numFmtId="0" fontId="0" fillId="2" borderId="0" xfId="0" applyFill="1" applyAlignment="1" applyProtection="1">
      <alignment horizontal="center" vertical="center" wrapText="1"/>
    </xf>
    <xf numFmtId="0" fontId="8" fillId="4" borderId="1" xfId="0" applyFont="1" applyFill="1" applyBorder="1" applyAlignment="1" applyProtection="1">
      <alignment horizontal="left"/>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0" borderId="2" xfId="0" applyFont="1" applyFill="1" applyBorder="1" applyAlignment="1" applyProtection="1">
      <alignment horizontal="left"/>
    </xf>
    <xf numFmtId="0" fontId="8" fillId="0" borderId="6" xfId="0" applyFont="1" applyFill="1" applyBorder="1" applyAlignment="1" applyProtection="1">
      <alignment horizontal="left"/>
    </xf>
    <xf numFmtId="0" fontId="8" fillId="0" borderId="3"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8" borderId="6" xfId="0" quotePrefix="1" applyFont="1" applyFill="1" applyBorder="1" applyAlignment="1" applyProtection="1">
      <alignment horizontal="left"/>
    </xf>
    <xf numFmtId="0" fontId="8" fillId="8" borderId="3" xfId="0" quotePrefix="1" applyFont="1" applyFill="1" applyBorder="1" applyAlignment="1" applyProtection="1">
      <alignment horizontal="left"/>
    </xf>
    <xf numFmtId="49" fontId="8" fillId="8" borderId="2" xfId="0" applyNumberFormat="1" applyFont="1" applyFill="1" applyBorder="1" applyAlignment="1" applyProtection="1">
      <alignment horizontal="left" wrapText="1"/>
    </xf>
    <xf numFmtId="49" fontId="8" fillId="8" borderId="6" xfId="0" applyNumberFormat="1" applyFont="1" applyFill="1" applyBorder="1" applyAlignment="1" applyProtection="1">
      <alignment horizontal="left" wrapText="1"/>
    </xf>
    <xf numFmtId="49" fontId="8" fillId="8" borderId="3" xfId="0" applyNumberFormat="1"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cellXfs>
  <cellStyles count="5">
    <cellStyle name="Komma" xfId="1" builtinId="3"/>
    <cellStyle name="Link" xfId="2" builtinId="8"/>
    <cellStyle name="Normal" xfId="0" builtinId="0"/>
    <cellStyle name="Normal 12" xfId="3"/>
    <cellStyle name="Procent" xfId="4" builtinId="5"/>
  </cellStyles>
  <dxfs count="0"/>
  <tableStyles count="0" defaultTableStyle="TableStyleMedium2" defaultPivotStyle="PivotStyleLight16"/>
  <colors>
    <mruColors>
      <color rgb="FFB6DDF3"/>
      <color rgb="FF212121"/>
      <color rgb="FFF2DCDB"/>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VAND/Sagsbehandling/&#216;R-statusark.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VAND/Skabeloner/&#216;konomiske%20rammer/2021/&#216;R%20Statusark/&#216;R-statusark_Udkast_2021.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VAND/Skabeloner/&#216;konomiske%20rammer/2022/&#216;R%20statusark/Kopi%20af%20&#216;R-statusark23.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VAND/Sagsbehandling/Drikkevand/Verdo%20Vand%20AS%20(V206)/&#216;R2022/Bilag%20A%20-%20Verdo%20Vand%20AS%20(V206)%20-%20&#216;R22%20-%20efter%20fusion.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C5">
            <v>1.0168999999999999</v>
          </cell>
        </row>
      </sheetData>
      <sheetData sheetId="9"/>
      <sheetData sheetId="1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2-25"/>
      <sheetName val="ØR21-24"/>
      <sheetName val="ØR20-23"/>
      <sheetName val="ØR19-22"/>
      <sheetName val="ØR18"/>
      <sheetName val="ØR17-20"/>
      <sheetName val="Nøgletal"/>
      <sheetName val="Ark2"/>
      <sheetName val="Ark3"/>
    </sheetNames>
    <sheetDataSet>
      <sheetData sheetId="0"/>
      <sheetData sheetId="1"/>
      <sheetData sheetId="2"/>
      <sheetData sheetId="3"/>
      <sheetData sheetId="4"/>
      <sheetData sheetId="5"/>
      <sheetData sheetId="6"/>
      <sheetData sheetId="7">
        <row r="6">
          <cell r="C6">
            <v>1.0197000000000001</v>
          </cell>
        </row>
        <row r="7">
          <cell r="C7">
            <v>1.0122</v>
          </cell>
          <cell r="E7">
            <v>1.0132000000000001</v>
          </cell>
        </row>
      </sheetData>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kro1"/>
      <sheetName val="ØR23-26 "/>
      <sheetName val="ØR22-25"/>
      <sheetName val="ØR21-24"/>
      <sheetName val="ØR20-23"/>
      <sheetName val="ØR19-22"/>
      <sheetName val="ØR18"/>
      <sheetName val="ØR17-20"/>
      <sheetName val="Nøgletal"/>
      <sheetName val="Farvekode forklaring"/>
      <sheetName val="Ark3"/>
    </sheetNames>
    <sheetDataSet>
      <sheetData sheetId="0"/>
      <sheetData sheetId="1"/>
      <sheetData sheetId="2"/>
      <sheetData sheetId="3"/>
      <sheetData sheetId="4"/>
      <sheetData sheetId="5"/>
      <sheetData sheetId="6"/>
      <sheetData sheetId="7"/>
      <sheetData sheetId="8">
        <row r="5">
          <cell r="B5">
            <v>1.6899999999999998E-2</v>
          </cell>
        </row>
        <row r="6">
          <cell r="B6">
            <v>1.9699999999999999E-2</v>
          </cell>
        </row>
        <row r="7">
          <cell r="B7">
            <v>1.2200000000000001E-2</v>
          </cell>
          <cell r="D7">
            <v>1.32E-2</v>
          </cell>
        </row>
        <row r="8">
          <cell r="B8">
            <v>3.3E-3</v>
          </cell>
        </row>
      </sheetData>
      <sheetData sheetId="9"/>
      <sheetData sheetId="1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Forside"/>
      <sheetName val="Fane 2.1. Økonomisk ramme 2022"/>
      <sheetName val="Fane 2.2. Økonomisk ramme 2023"/>
      <sheetName val="Fane 2.3. Økonomisk ramme 2024"/>
      <sheetName val="Fane 2.4. Økonomisk ramme 2025"/>
      <sheetName val="Fane 3. Omkostninger i ØR2021"/>
      <sheetName val="Fane 4.1. Gen. krav - drift"/>
      <sheetName val="Fane 4.2. Gen. krav - anlæg"/>
      <sheetName val="Fane 5. Individuelt eff. krav"/>
      <sheetName val="Fane 6. Ikke-påvirkelige omk."/>
      <sheetName val="Fane 7. Kontrol af ØR2020"/>
      <sheetName val="Fane 8. Anlægsprojekter"/>
      <sheetName val="Fane 9.1. Varige tillæg"/>
      <sheetName val="Fane 9.2. Engangstillæg"/>
      <sheetName val="Fane 10. Tilknyttet virksomhed"/>
      <sheetName val="Fane 11. Bortfald"/>
      <sheetName val="Fane 12. Nøglet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9">
          <cell r="C9">
            <v>1.2699999999999999E-2</v>
          </cell>
        </row>
      </sheetData>
    </sheetDataSet>
  </externalBook>
</externalLink>
</file>

<file path=xl/theme/theme1.xml><?xml version="1.0" encoding="utf-8"?>
<a:theme xmlns:a="http://schemas.openxmlformats.org/drawingml/2006/main" name="Office-tema">
  <a:themeElements>
    <a:clrScheme name="Kont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ont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
  <dimension ref="A1:I50"/>
  <sheetViews>
    <sheetView showGridLines="0" tabSelected="1" view="pageLayout" topLeftCell="A7" zoomScaleNormal="100" workbookViewId="0"/>
  </sheetViews>
  <sheetFormatPr defaultColWidth="9" defaultRowHeight="15" x14ac:dyDescent="0.25"/>
  <cols>
    <col min="1" max="1" width="9" style="2"/>
    <col min="2" max="2" width="5.85546875" style="2" customWidth="1"/>
    <col min="3" max="4" width="9" style="2"/>
    <col min="5" max="5" width="11.7109375" style="2" customWidth="1"/>
    <col min="6" max="6" width="11.5703125" style="2" customWidth="1"/>
    <col min="7" max="8" width="9" style="2"/>
    <col min="9" max="9" width="12" style="2" customWidth="1"/>
    <col min="10" max="16384" width="9" style="2"/>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
      <c r="C3" s="1"/>
      <c r="D3" s="1"/>
      <c r="E3" s="1"/>
      <c r="F3" s="1"/>
      <c r="G3" s="1"/>
      <c r="H3" s="1"/>
      <c r="I3" s="1"/>
    </row>
    <row r="4" spans="1:9" ht="15" customHeight="1" x14ac:dyDescent="0.25">
      <c r="A4" s="1"/>
      <c r="B4" s="1"/>
      <c r="C4" s="1"/>
      <c r="D4" s="1"/>
      <c r="E4" s="1"/>
      <c r="F4" s="1"/>
      <c r="G4" s="1"/>
      <c r="H4" s="1"/>
      <c r="I4" s="1"/>
    </row>
    <row r="5" spans="1:9" x14ac:dyDescent="0.25">
      <c r="A5" s="1"/>
      <c r="B5" s="1"/>
      <c r="C5" s="1"/>
      <c r="D5" s="1"/>
      <c r="E5" s="1"/>
      <c r="F5" s="1"/>
      <c r="G5" s="1"/>
      <c r="H5" s="1"/>
      <c r="I5" s="1"/>
    </row>
    <row r="6" spans="1:9" ht="15" customHeight="1" x14ac:dyDescent="0.25">
      <c r="A6" s="1"/>
      <c r="B6" s="1"/>
      <c r="C6" s="3"/>
      <c r="D6" s="87" t="s">
        <v>4</v>
      </c>
      <c r="E6" s="87"/>
      <c r="F6" s="87"/>
      <c r="G6" s="87"/>
      <c r="H6" s="3"/>
      <c r="I6" s="1"/>
    </row>
    <row r="7" spans="1:9" ht="15" customHeight="1" x14ac:dyDescent="0.25">
      <c r="A7" s="1"/>
      <c r="B7" s="1"/>
      <c r="C7" s="3"/>
      <c r="D7" s="87"/>
      <c r="E7" s="87"/>
      <c r="F7" s="87"/>
      <c r="G7" s="87"/>
      <c r="H7" s="3"/>
      <c r="I7" s="1"/>
    </row>
    <row r="8" spans="1:9" ht="15.75" x14ac:dyDescent="0.25">
      <c r="A8" s="1"/>
      <c r="B8" s="1"/>
      <c r="C8" s="4"/>
      <c r="D8" s="92" t="s">
        <v>194</v>
      </c>
      <c r="E8" s="92"/>
      <c r="F8" s="92"/>
      <c r="G8" s="92"/>
      <c r="H8" s="4"/>
      <c r="I8" s="1"/>
    </row>
    <row r="9" spans="1:9" x14ac:dyDescent="0.25">
      <c r="A9" s="1"/>
      <c r="B9" s="1"/>
      <c r="C9" s="5"/>
      <c r="D9" s="5"/>
      <c r="E9" s="5"/>
      <c r="F9" s="5"/>
      <c r="G9" s="5"/>
      <c r="H9" s="5"/>
      <c r="I9" s="1"/>
    </row>
    <row r="10" spans="1:9" x14ac:dyDescent="0.25">
      <c r="A10" s="1"/>
      <c r="B10" s="5"/>
      <c r="C10" s="5"/>
      <c r="D10" s="5"/>
      <c r="E10" s="5"/>
      <c r="F10" s="5"/>
      <c r="G10" s="5"/>
      <c r="H10" s="5"/>
      <c r="I10" s="1"/>
    </row>
    <row r="11" spans="1:9" x14ac:dyDescent="0.25">
      <c r="A11" s="1"/>
      <c r="B11" s="5"/>
      <c r="C11" s="5"/>
      <c r="D11" s="91" t="s">
        <v>5</v>
      </c>
      <c r="E11" s="91"/>
      <c r="F11" s="91"/>
      <c r="G11" s="91"/>
      <c r="H11" s="5"/>
      <c r="I11" s="1"/>
    </row>
    <row r="12" spans="1:9" x14ac:dyDescent="0.25">
      <c r="A12" s="1"/>
      <c r="B12" s="1"/>
      <c r="C12" s="1"/>
      <c r="D12" s="1"/>
      <c r="E12" s="1"/>
      <c r="F12" s="1"/>
      <c r="G12" s="1"/>
      <c r="H12" s="1"/>
      <c r="I12" s="1"/>
    </row>
    <row r="13" spans="1:9" x14ac:dyDescent="0.25">
      <c r="A13" s="1"/>
      <c r="B13" s="1"/>
      <c r="C13" s="6" t="s">
        <v>6</v>
      </c>
      <c r="D13" s="84" t="s">
        <v>161</v>
      </c>
      <c r="E13" s="85"/>
      <c r="F13" s="85"/>
      <c r="G13" s="86"/>
      <c r="H13" s="1"/>
      <c r="I13" s="1"/>
    </row>
    <row r="14" spans="1:9" x14ac:dyDescent="0.25">
      <c r="A14" s="1"/>
      <c r="B14" s="1"/>
      <c r="C14" s="6" t="s">
        <v>14</v>
      </c>
      <c r="D14" s="84" t="s">
        <v>204</v>
      </c>
      <c r="E14" s="85"/>
      <c r="F14" s="85"/>
      <c r="G14" s="86"/>
      <c r="H14" s="1"/>
      <c r="I14" s="1"/>
    </row>
    <row r="15" spans="1:9" x14ac:dyDescent="0.25">
      <c r="A15" s="1"/>
      <c r="B15" s="1"/>
      <c r="C15" s="6" t="s">
        <v>32</v>
      </c>
      <c r="D15" s="84" t="s">
        <v>137</v>
      </c>
      <c r="E15" s="85"/>
      <c r="F15" s="85"/>
      <c r="G15" s="86"/>
      <c r="H15" s="1"/>
      <c r="I15" s="1"/>
    </row>
    <row r="16" spans="1:9" x14ac:dyDescent="0.25">
      <c r="A16" s="1"/>
      <c r="B16" s="1"/>
      <c r="C16" s="6" t="s">
        <v>33</v>
      </c>
      <c r="D16" s="84" t="s">
        <v>162</v>
      </c>
      <c r="E16" s="85"/>
      <c r="F16" s="85"/>
      <c r="G16" s="86"/>
      <c r="H16" s="1"/>
      <c r="I16" s="1"/>
    </row>
    <row r="17" spans="1:9" x14ac:dyDescent="0.25">
      <c r="A17" s="1"/>
      <c r="B17" s="1"/>
      <c r="C17" s="6" t="s">
        <v>110</v>
      </c>
      <c r="D17" s="84" t="s">
        <v>163</v>
      </c>
      <c r="E17" s="85"/>
      <c r="F17" s="85"/>
      <c r="G17" s="86"/>
      <c r="H17" s="1"/>
      <c r="I17" s="1"/>
    </row>
    <row r="18" spans="1:9" x14ac:dyDescent="0.25">
      <c r="A18" s="1"/>
      <c r="B18" s="1"/>
      <c r="C18" s="6" t="s">
        <v>94</v>
      </c>
      <c r="D18" s="93" t="s">
        <v>86</v>
      </c>
      <c r="E18" s="94"/>
      <c r="F18" s="94"/>
      <c r="G18" s="95"/>
      <c r="H18" s="1"/>
      <c r="I18" s="1"/>
    </row>
    <row r="19" spans="1:9" x14ac:dyDescent="0.25">
      <c r="A19" s="1"/>
      <c r="B19" s="1"/>
      <c r="C19" s="6" t="s">
        <v>95</v>
      </c>
      <c r="D19" s="93" t="s">
        <v>87</v>
      </c>
      <c r="E19" s="94"/>
      <c r="F19" s="94"/>
      <c r="G19" s="95"/>
      <c r="H19" s="1"/>
      <c r="I19" s="1"/>
    </row>
    <row r="20" spans="1:9" x14ac:dyDescent="0.25">
      <c r="A20" s="1"/>
      <c r="B20" s="1"/>
      <c r="C20" s="6" t="s">
        <v>7</v>
      </c>
      <c r="D20" s="93" t="s">
        <v>9</v>
      </c>
      <c r="E20" s="94"/>
      <c r="F20" s="94"/>
      <c r="G20" s="95"/>
      <c r="H20" s="1"/>
      <c r="I20" s="1"/>
    </row>
    <row r="21" spans="1:9" x14ac:dyDescent="0.25">
      <c r="A21" s="1"/>
      <c r="B21" s="1"/>
      <c r="C21" s="6" t="s">
        <v>96</v>
      </c>
      <c r="D21" s="99" t="s">
        <v>11</v>
      </c>
      <c r="E21" s="100"/>
      <c r="F21" s="100"/>
      <c r="G21" s="101"/>
      <c r="H21" s="1"/>
      <c r="I21" s="1"/>
    </row>
    <row r="22" spans="1:9" x14ac:dyDescent="0.25">
      <c r="A22" s="1"/>
      <c r="B22" s="1"/>
      <c r="C22" s="6" t="s">
        <v>78</v>
      </c>
      <c r="D22" s="88" t="s">
        <v>164</v>
      </c>
      <c r="E22" s="89"/>
      <c r="F22" s="89"/>
      <c r="G22" s="90"/>
      <c r="H22" s="1"/>
      <c r="I22" s="1"/>
    </row>
    <row r="23" spans="1:9" x14ac:dyDescent="0.25">
      <c r="A23" s="1"/>
      <c r="B23" s="1"/>
      <c r="C23" s="6" t="s">
        <v>8</v>
      </c>
      <c r="D23" s="88" t="s">
        <v>219</v>
      </c>
      <c r="E23" s="89"/>
      <c r="F23" s="89"/>
      <c r="G23" s="90"/>
      <c r="H23" s="1"/>
      <c r="I23" s="1"/>
    </row>
    <row r="24" spans="1:9" x14ac:dyDescent="0.25">
      <c r="A24" s="1"/>
      <c r="B24" s="1"/>
      <c r="C24" s="6" t="s">
        <v>215</v>
      </c>
      <c r="D24" s="88" t="s">
        <v>205</v>
      </c>
      <c r="E24" s="89"/>
      <c r="F24" s="89"/>
      <c r="G24" s="90"/>
      <c r="H24" s="1"/>
      <c r="I24" s="1"/>
    </row>
    <row r="25" spans="1:9" x14ac:dyDescent="0.25">
      <c r="A25" s="1"/>
      <c r="B25" s="1"/>
      <c r="C25" s="6" t="s">
        <v>216</v>
      </c>
      <c r="D25" s="88" t="s">
        <v>79</v>
      </c>
      <c r="E25" s="89"/>
      <c r="F25" s="89"/>
      <c r="G25" s="90"/>
      <c r="H25" s="1"/>
      <c r="I25" s="1"/>
    </row>
    <row r="26" spans="1:9" x14ac:dyDescent="0.25">
      <c r="A26" s="1"/>
      <c r="B26" s="1"/>
      <c r="C26" s="6" t="s">
        <v>217</v>
      </c>
      <c r="D26" s="88" t="s">
        <v>80</v>
      </c>
      <c r="E26" s="89"/>
      <c r="F26" s="89"/>
      <c r="G26" s="90"/>
      <c r="H26" s="1"/>
      <c r="I26" s="1"/>
    </row>
    <row r="27" spans="1:9" x14ac:dyDescent="0.25">
      <c r="A27" s="1"/>
      <c r="B27" s="1"/>
      <c r="C27" s="6" t="s">
        <v>97</v>
      </c>
      <c r="D27" s="88" t="s">
        <v>111</v>
      </c>
      <c r="E27" s="89"/>
      <c r="F27" s="89"/>
      <c r="G27" s="90"/>
      <c r="H27" s="1"/>
      <c r="I27" s="1"/>
    </row>
    <row r="28" spans="1:9" x14ac:dyDescent="0.25">
      <c r="A28" s="1"/>
      <c r="B28" s="1"/>
      <c r="C28" s="6" t="s">
        <v>91</v>
      </c>
      <c r="D28" s="88" t="s">
        <v>34</v>
      </c>
      <c r="E28" s="89"/>
      <c r="F28" s="89"/>
      <c r="G28" s="90"/>
      <c r="H28" s="1"/>
      <c r="I28" s="1"/>
    </row>
    <row r="29" spans="1:9" x14ac:dyDescent="0.25">
      <c r="A29" s="1"/>
      <c r="B29" s="1"/>
      <c r="C29" s="6" t="s">
        <v>218</v>
      </c>
      <c r="D29" s="96" t="s">
        <v>92</v>
      </c>
      <c r="E29" s="97"/>
      <c r="F29" s="97"/>
      <c r="G29" s="98"/>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S9LdT9MUhczbXNFcTti2vpaaNkSnaLWNnVzrJNylkmfy9IljOQ+ofoJSt8wSkGR3DEJxAGQRQhWuNqzfMhtRLw==" saltValue="3RJnqfTD9th0zTDtnVUbhg==" spinCount="100000" sheet="1" objects="1" scenarios="1"/>
  <mergeCells count="20">
    <mergeCell ref="D28:G28"/>
    <mergeCell ref="D29:G29"/>
    <mergeCell ref="D21:G21"/>
    <mergeCell ref="D24:G24"/>
    <mergeCell ref="D25:G25"/>
    <mergeCell ref="D27:G27"/>
    <mergeCell ref="D26:G26"/>
    <mergeCell ref="D23:G23"/>
    <mergeCell ref="D14:G14"/>
    <mergeCell ref="D6:G7"/>
    <mergeCell ref="D22:G22"/>
    <mergeCell ref="D11:G11"/>
    <mergeCell ref="D8:G8"/>
    <mergeCell ref="D15:G15"/>
    <mergeCell ref="D16:G16"/>
    <mergeCell ref="D13:G13"/>
    <mergeCell ref="D17:G17"/>
    <mergeCell ref="D18:G18"/>
    <mergeCell ref="D19:G19"/>
    <mergeCell ref="D20:G20"/>
  </mergeCells>
  <hyperlinks>
    <hyperlink ref="D14:G14" location="'Fane 2.2. Økonomisk ramme 2024'!A1" display="Vejledende økonomisk ramme for 2024"/>
    <hyperlink ref="D25:G25" location="'Fane 10.1. Varige tillæg'!A1" display="Varige tillæg"/>
    <hyperlink ref="D27:G27" location="'Fane 11. Tilknyttet virksomhed'!A1" display="Tilknyttet virksomhed"/>
    <hyperlink ref="D28:G28" location="'Fane 12. Bortfald'!A1" display="Bortfald"/>
    <hyperlink ref="D13:G13" location="'Fane 2.1. Økonomisk ramme 2023'!A1" display="Samlet økonomisk ramme for 2023"/>
    <hyperlink ref="D16:G16" location="'Fane 2.4. Økonomisk ramme 2026'!A1" display="Vejledende økonomisk ramme for 2026"/>
    <hyperlink ref="D15:G15" location="'Fane 2.3. Økonomisk ramme 2025'!A1" display="Vejledende økonomisk ramme for 2025"/>
    <hyperlink ref="D21:G21" location="'Fane 6. Ikke-påvirkelige omk.'!A1" display="Ikke-påvirkelige omkostninger"/>
    <hyperlink ref="D22:G22" location="'Fane 7. Kontrol af ØR2021'!A1" display="Kontrol af den økonomiske ramme for 2021"/>
    <hyperlink ref="D24:G24" location="'Fane 9. Anlægsprojekter (§ 19) '!A1" display="Anlægsprojekter (§ 19) "/>
    <hyperlink ref="D29:G29" location="'Fane 13. Nøgletal'!A1" display="Nøgletal"/>
    <hyperlink ref="D17:G17" location="'Fane 3. Omkostninger i ØR2022'!A1" display="Omkostninger i ØR2022"/>
    <hyperlink ref="D26:G26" location="'Fane 10.2. Engangstillæg'!A1" display="Engangstillæg"/>
    <hyperlink ref="D19:G19" location="'Fane 4.2. Gen. krav - anlæg'!A1" display="Generelt effektiviseringskrav på anlæg"/>
    <hyperlink ref="D18:G18" location="'Fane 4.1. Gen. krav - drift'!A1" display="Generelt effektiviseringskrav på drift"/>
    <hyperlink ref="D20:G20" location="'Fane 5. Individuelt eff. krav'!A1" display="Individuelt effektiviseringskrav"/>
    <hyperlink ref="D23:G23" location="'Fane 8. Skattesagen'!A1" display="Skattesagen"/>
  </hyperlinks>
  <pageMargins left="0.70866141732283472" right="0.70866141732283472" top="0.74803149606299213" bottom="0.74803149606299213" header="0.31496062992125984" footer="0.31496062992125984"/>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dimension ref="A1:F50"/>
  <sheetViews>
    <sheetView showGridLines="0" view="pageLayout" zoomScaleNormal="100" workbookViewId="0"/>
  </sheetViews>
  <sheetFormatPr defaultColWidth="9" defaultRowHeight="15" x14ac:dyDescent="0.25"/>
  <cols>
    <col min="1" max="1" width="8" style="2" customWidth="1"/>
    <col min="2" max="2" width="37.7109375" style="2" customWidth="1"/>
    <col min="3" max="3" width="24.85546875" style="2" customWidth="1"/>
    <col min="4" max="4" width="3.28515625" style="2" customWidth="1"/>
    <col min="5" max="5" width="7.85546875" style="2" customWidth="1"/>
    <col min="6" max="6" width="4" style="2" customWidth="1"/>
    <col min="7" max="16384" width="9" style="2"/>
  </cols>
  <sheetData>
    <row r="1" spans="1:6" x14ac:dyDescent="0.25">
      <c r="A1" s="1"/>
      <c r="B1" s="1"/>
      <c r="C1" s="1"/>
      <c r="D1" s="1"/>
      <c r="E1" s="1"/>
      <c r="F1" s="1"/>
    </row>
    <row r="2" spans="1:6" x14ac:dyDescent="0.25">
      <c r="A2" s="1"/>
      <c r="B2" s="1"/>
      <c r="C2" s="1"/>
      <c r="D2" s="1"/>
      <c r="E2" s="1"/>
      <c r="F2" s="1"/>
    </row>
    <row r="3" spans="1:6" ht="15" customHeight="1" x14ac:dyDescent="0.25">
      <c r="A3" s="1"/>
      <c r="B3" s="102" t="s">
        <v>100</v>
      </c>
      <c r="C3" s="102"/>
      <c r="D3" s="102"/>
      <c r="E3" s="1"/>
      <c r="F3" s="1"/>
    </row>
    <row r="4" spans="1:6" ht="15" customHeight="1" x14ac:dyDescent="0.25">
      <c r="A4" s="1"/>
      <c r="B4" s="102"/>
      <c r="C4" s="102"/>
      <c r="D4" s="102"/>
      <c r="E4" s="1"/>
      <c r="F4" s="1"/>
    </row>
    <row r="5" spans="1:6" x14ac:dyDescent="0.25">
      <c r="A5" s="1"/>
      <c r="B5" s="1"/>
      <c r="C5" s="1"/>
      <c r="D5" s="1"/>
      <c r="E5" s="1"/>
      <c r="F5" s="1"/>
    </row>
    <row r="6" spans="1:6" x14ac:dyDescent="0.25">
      <c r="A6" s="1"/>
      <c r="B6" s="1"/>
      <c r="C6" s="1"/>
      <c r="D6" s="1"/>
      <c r="E6" s="1"/>
      <c r="F6" s="1"/>
    </row>
    <row r="7" spans="1:6" x14ac:dyDescent="0.25">
      <c r="A7" s="1"/>
      <c r="B7" s="1"/>
      <c r="C7" s="1"/>
      <c r="D7" s="1"/>
      <c r="E7" s="1"/>
      <c r="F7" s="1"/>
    </row>
    <row r="8" spans="1:6" x14ac:dyDescent="0.25">
      <c r="A8" s="1"/>
      <c r="B8" s="121" t="s">
        <v>181</v>
      </c>
      <c r="C8" s="122"/>
      <c r="D8" s="123"/>
      <c r="E8" s="1"/>
      <c r="F8" s="1"/>
    </row>
    <row r="9" spans="1:6" ht="15" customHeight="1" x14ac:dyDescent="0.25">
      <c r="A9" s="1"/>
      <c r="B9" s="33" t="s">
        <v>30</v>
      </c>
      <c r="C9" s="11" t="s">
        <v>212</v>
      </c>
      <c r="D9" s="11"/>
      <c r="E9" s="1"/>
      <c r="F9" s="1"/>
    </row>
    <row r="10" spans="1:6" x14ac:dyDescent="0.25">
      <c r="A10" s="1"/>
      <c r="B10" s="80" t="s">
        <v>230</v>
      </c>
      <c r="C10" s="9">
        <v>15485490</v>
      </c>
      <c r="D10" s="14" t="s">
        <v>3</v>
      </c>
      <c r="E10" s="1"/>
      <c r="F10" s="1"/>
    </row>
    <row r="11" spans="1:6" x14ac:dyDescent="0.25">
      <c r="A11" s="1"/>
      <c r="B11" s="80" t="s">
        <v>231</v>
      </c>
      <c r="C11" s="9">
        <v>118374</v>
      </c>
      <c r="D11" s="14" t="s">
        <v>3</v>
      </c>
      <c r="E11" s="1"/>
      <c r="F11" s="1"/>
    </row>
    <row r="12" spans="1:6" x14ac:dyDescent="0.25">
      <c r="A12" s="1"/>
      <c r="B12" s="80" t="s">
        <v>232</v>
      </c>
      <c r="C12" s="9">
        <v>169323</v>
      </c>
      <c r="D12" s="14" t="s">
        <v>3</v>
      </c>
      <c r="E12" s="1"/>
      <c r="F12" s="1"/>
    </row>
    <row r="13" spans="1:6" x14ac:dyDescent="0.25">
      <c r="A13" s="1"/>
      <c r="B13" s="80" t="s">
        <v>233</v>
      </c>
      <c r="C13" s="9">
        <v>342960</v>
      </c>
      <c r="D13" s="14" t="s">
        <v>3</v>
      </c>
      <c r="E13" s="1"/>
      <c r="F13" s="1"/>
    </row>
    <row r="14" spans="1:6" x14ac:dyDescent="0.25">
      <c r="A14" s="1"/>
      <c r="B14" s="68" t="s">
        <v>182</v>
      </c>
      <c r="C14" s="12">
        <f>SUM(C10:C13)</f>
        <v>16116147</v>
      </c>
      <c r="D14" s="13" t="s">
        <v>3</v>
      </c>
      <c r="E14" s="1"/>
      <c r="F14" s="1"/>
    </row>
    <row r="15" spans="1:6" x14ac:dyDescent="0.25">
      <c r="A15" s="1"/>
      <c r="B15" s="68" t="s">
        <v>183</v>
      </c>
      <c r="C15" s="12">
        <f>C14*(1+'Fane 13. Nøgletal'!C15)^2</f>
        <v>17284041.626461923</v>
      </c>
      <c r="D15" s="13" t="s">
        <v>3</v>
      </c>
      <c r="E15" s="1"/>
      <c r="F15" s="1"/>
    </row>
    <row r="16" spans="1:6" x14ac:dyDescent="0.25">
      <c r="A16" s="1"/>
      <c r="B16" s="16"/>
      <c r="C16" s="15"/>
      <c r="D16" s="15"/>
      <c r="E16" s="1"/>
      <c r="F16" s="1"/>
    </row>
    <row r="17" spans="1:6" x14ac:dyDescent="0.25">
      <c r="A17" s="1"/>
      <c r="B17" s="16"/>
      <c r="C17" s="15"/>
      <c r="D17" s="15"/>
      <c r="E17" s="1"/>
      <c r="F17" s="1"/>
    </row>
    <row r="18" spans="1:6" x14ac:dyDescent="0.25">
      <c r="A18" s="1"/>
      <c r="B18" s="1"/>
      <c r="C18" s="1"/>
      <c r="D18" s="1"/>
      <c r="E18" s="1"/>
      <c r="F18" s="1"/>
    </row>
    <row r="19" spans="1:6" x14ac:dyDescent="0.25">
      <c r="A19" s="1"/>
      <c r="B19" s="1"/>
      <c r="C19" s="1"/>
      <c r="D19" s="1"/>
      <c r="E19" s="1"/>
      <c r="F19" s="1"/>
    </row>
    <row r="20" spans="1:6" x14ac:dyDescent="0.25">
      <c r="A20" s="1"/>
      <c r="B20" s="1"/>
      <c r="C20" s="1"/>
      <c r="D20" s="1"/>
      <c r="E20" s="1"/>
      <c r="F20" s="1"/>
    </row>
    <row r="21" spans="1:6" x14ac:dyDescent="0.25">
      <c r="A21" s="1"/>
      <c r="B21" s="1"/>
      <c r="C21" s="1"/>
      <c r="D21" s="1"/>
      <c r="E21" s="1"/>
      <c r="F21" s="1"/>
    </row>
    <row r="22" spans="1:6" x14ac:dyDescent="0.25">
      <c r="A22" s="1"/>
      <c r="B22" s="1"/>
      <c r="C22" s="1"/>
      <c r="D22" s="1"/>
      <c r="E22" s="1"/>
      <c r="F22" s="1"/>
    </row>
    <row r="23" spans="1:6" x14ac:dyDescent="0.25">
      <c r="A23" s="1"/>
      <c r="B23" s="1"/>
      <c r="C23" s="1"/>
      <c r="D23" s="1"/>
      <c r="E23" s="1"/>
      <c r="F23" s="1"/>
    </row>
    <row r="24" spans="1:6" x14ac:dyDescent="0.25">
      <c r="A24" s="1"/>
      <c r="B24" s="1"/>
      <c r="C24" s="1"/>
      <c r="D24" s="1"/>
      <c r="E24" s="1"/>
      <c r="F24" s="1"/>
    </row>
    <row r="25" spans="1:6" x14ac:dyDescent="0.25">
      <c r="A25" s="1"/>
      <c r="B25" s="1"/>
      <c r="C25" s="1"/>
      <c r="D25" s="1"/>
      <c r="E25" s="1"/>
      <c r="F25" s="1"/>
    </row>
    <row r="26" spans="1:6" x14ac:dyDescent="0.25">
      <c r="A26" s="1"/>
      <c r="B26" s="1"/>
      <c r="C26" s="1"/>
      <c r="D26" s="1"/>
      <c r="E26" s="1"/>
      <c r="F26" s="1"/>
    </row>
    <row r="27" spans="1:6" x14ac:dyDescent="0.25">
      <c r="A27" s="1"/>
      <c r="B27" s="1"/>
      <c r="C27" s="1"/>
      <c r="D27" s="1"/>
      <c r="E27" s="1"/>
      <c r="F27" s="1"/>
    </row>
    <row r="28" spans="1:6" x14ac:dyDescent="0.25">
      <c r="A28" s="1"/>
      <c r="B28" s="1"/>
      <c r="C28" s="1"/>
      <c r="D28" s="1"/>
      <c r="E28" s="1"/>
      <c r="F28" s="1"/>
    </row>
    <row r="29" spans="1:6" x14ac:dyDescent="0.25">
      <c r="A29" s="1"/>
      <c r="B29" s="1"/>
      <c r="C29" s="1"/>
      <c r="D29" s="1"/>
      <c r="E29" s="1"/>
      <c r="F29" s="1"/>
    </row>
    <row r="30" spans="1:6" x14ac:dyDescent="0.25">
      <c r="A30" s="1"/>
      <c r="B30" s="1"/>
      <c r="C30" s="1"/>
      <c r="D30" s="1"/>
      <c r="E30" s="1"/>
      <c r="F30" s="1"/>
    </row>
    <row r="31" spans="1:6" x14ac:dyDescent="0.25">
      <c r="A31" s="1"/>
      <c r="B31" s="1"/>
      <c r="C31" s="1"/>
      <c r="D31" s="1"/>
      <c r="E31" s="1"/>
      <c r="F31" s="1"/>
    </row>
    <row r="32" spans="1:6" x14ac:dyDescent="0.25">
      <c r="A32" s="1"/>
      <c r="B32" s="1"/>
      <c r="C32" s="1"/>
      <c r="D32" s="1"/>
      <c r="E32" s="1"/>
      <c r="F32" s="1"/>
    </row>
    <row r="33" spans="1:6" x14ac:dyDescent="0.25">
      <c r="A33" s="1"/>
      <c r="B33" s="1"/>
      <c r="C33" s="1"/>
      <c r="D33" s="1"/>
      <c r="E33" s="1"/>
      <c r="F33" s="1"/>
    </row>
    <row r="34" spans="1:6" x14ac:dyDescent="0.25">
      <c r="A34" s="1"/>
      <c r="B34" s="1"/>
      <c r="C34" s="1"/>
      <c r="D34" s="1"/>
      <c r="E34" s="1"/>
      <c r="F34" s="1"/>
    </row>
    <row r="35" spans="1:6" x14ac:dyDescent="0.25">
      <c r="A35" s="1"/>
      <c r="B35" s="1"/>
      <c r="C35" s="1"/>
      <c r="D35" s="1"/>
      <c r="E35" s="1"/>
      <c r="F35" s="1"/>
    </row>
    <row r="36" spans="1:6" x14ac:dyDescent="0.25">
      <c r="A36" s="1"/>
      <c r="B36" s="1"/>
      <c r="C36" s="1"/>
      <c r="D36" s="1"/>
      <c r="E36" s="1"/>
      <c r="F36" s="1"/>
    </row>
    <row r="37" spans="1:6" x14ac:dyDescent="0.25">
      <c r="A37" s="1"/>
      <c r="B37" s="1"/>
      <c r="C37" s="1"/>
      <c r="D37" s="1"/>
      <c r="E37" s="1"/>
      <c r="F37" s="1"/>
    </row>
    <row r="38" spans="1:6" x14ac:dyDescent="0.25">
      <c r="A38" s="1"/>
      <c r="B38" s="1"/>
      <c r="C38" s="1"/>
      <c r="D38" s="1"/>
      <c r="E38" s="1"/>
      <c r="F38" s="1"/>
    </row>
    <row r="39" spans="1:6" x14ac:dyDescent="0.25">
      <c r="A39" s="1"/>
      <c r="B39" s="1"/>
      <c r="C39" s="1"/>
      <c r="D39" s="1"/>
      <c r="E39" s="1"/>
      <c r="F39" s="1"/>
    </row>
    <row r="40" spans="1:6" x14ac:dyDescent="0.25">
      <c r="A40" s="1"/>
      <c r="B40" s="1"/>
      <c r="C40" s="1"/>
      <c r="D40" s="1"/>
      <c r="E40" s="1"/>
      <c r="F40" s="1"/>
    </row>
    <row r="41" spans="1:6" x14ac:dyDescent="0.25">
      <c r="A41" s="1"/>
      <c r="B41" s="1"/>
      <c r="C41" s="1"/>
      <c r="D41" s="1"/>
      <c r="E41" s="1"/>
      <c r="F41" s="1"/>
    </row>
    <row r="42" spans="1:6" x14ac:dyDescent="0.25">
      <c r="A42" s="1"/>
      <c r="B42" s="1"/>
      <c r="C42" s="1"/>
      <c r="D42" s="1"/>
      <c r="E42" s="1"/>
      <c r="F42" s="1"/>
    </row>
    <row r="43" spans="1:6" x14ac:dyDescent="0.25">
      <c r="A43" s="1"/>
      <c r="B43" s="1"/>
      <c r="C43" s="1"/>
      <c r="D43" s="1"/>
      <c r="E43" s="1"/>
      <c r="F43" s="1"/>
    </row>
    <row r="44" spans="1:6" x14ac:dyDescent="0.25">
      <c r="A44" s="1"/>
      <c r="B44" s="1"/>
      <c r="C44" s="1"/>
      <c r="D44" s="1"/>
      <c r="E44" s="1"/>
      <c r="F44" s="1"/>
    </row>
    <row r="45" spans="1:6" x14ac:dyDescent="0.25">
      <c r="A45" s="1"/>
      <c r="B45" s="1"/>
      <c r="C45" s="1"/>
      <c r="D45" s="1"/>
      <c r="E45" s="1"/>
      <c r="F45" s="1"/>
    </row>
    <row r="46" spans="1:6" x14ac:dyDescent="0.25">
      <c r="A46" s="1"/>
      <c r="B46" s="1"/>
      <c r="C46" s="1"/>
      <c r="D46" s="1"/>
      <c r="E46" s="1"/>
      <c r="F46" s="1"/>
    </row>
    <row r="47" spans="1:6" x14ac:dyDescent="0.25">
      <c r="A47" s="1"/>
      <c r="B47" s="1"/>
      <c r="C47" s="1"/>
      <c r="D47" s="1"/>
      <c r="E47" s="1"/>
      <c r="F47" s="1"/>
    </row>
    <row r="48" spans="1:6" x14ac:dyDescent="0.25">
      <c r="A48" s="1"/>
      <c r="B48" s="1"/>
      <c r="C48" s="1"/>
      <c r="D48" s="1"/>
      <c r="E48" s="1"/>
      <c r="F48" s="1"/>
    </row>
    <row r="49" spans="1:6" x14ac:dyDescent="0.25">
      <c r="A49" s="1"/>
      <c r="B49" s="1"/>
      <c r="C49" s="1"/>
      <c r="D49" s="1"/>
      <c r="E49" s="1"/>
      <c r="F49" s="1"/>
    </row>
    <row r="50" spans="1:6" x14ac:dyDescent="0.25">
      <c r="A50" s="1"/>
      <c r="B50" s="1"/>
      <c r="C50" s="1"/>
      <c r="D50" s="1"/>
      <c r="E50" s="1"/>
      <c r="F50" s="1"/>
    </row>
  </sheetData>
  <sheetProtection algorithmName="SHA-512" hashValue="qnbySXT1diyhKvEVFqzwMIfcI+Oi3zYJ49R5+MpuGq5BiP77FhbFs6vHHI9OCnCJNB9X5q5FAzVd6NM5V0wIXA==" saltValue="zU3dTUggReUL5AHuJP+WJQ==" spinCount="100000" sheet="1" objects="1" scenarios="1"/>
  <mergeCells count="2">
    <mergeCell ref="B3:D4"/>
    <mergeCell ref="B8:D8"/>
  </mergeCells>
  <pageMargins left="0.70866141732283461" right="0.70866141732283461" top="0.74803149606299213" bottom="0.74803149606299213" header="0.31496062992125984" footer="0.31496062992125984"/>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3"/>
  <dimension ref="A1:G42"/>
  <sheetViews>
    <sheetView showGridLines="0" view="pageLayout" zoomScaleNormal="100" workbookViewId="0"/>
  </sheetViews>
  <sheetFormatPr defaultColWidth="9" defaultRowHeight="15" x14ac:dyDescent="0.25"/>
  <cols>
    <col min="1" max="1" width="3.5703125" style="2" customWidth="1"/>
    <col min="2" max="3" width="9" style="2"/>
    <col min="4" max="4" width="47.7109375" style="2" customWidth="1"/>
    <col min="5" max="5" width="10.7109375" style="2" customWidth="1"/>
    <col min="6" max="6" width="3.28515625" style="2" customWidth="1"/>
    <col min="7" max="7" width="2.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29.25" customHeight="1" x14ac:dyDescent="0.25">
      <c r="A3" s="1"/>
      <c r="B3" s="124" t="s">
        <v>184</v>
      </c>
      <c r="C3" s="124"/>
      <c r="D3" s="124"/>
      <c r="E3" s="124"/>
      <c r="F3" s="124"/>
      <c r="G3" s="1"/>
    </row>
    <row r="4" spans="1:7" ht="15" customHeight="1" x14ac:dyDescent="0.25">
      <c r="A4" s="1"/>
      <c r="B4" s="124"/>
      <c r="C4" s="124"/>
      <c r="D4" s="124"/>
      <c r="E4" s="124"/>
      <c r="F4" s="124"/>
      <c r="G4" s="1"/>
    </row>
    <row r="5" spans="1:7" ht="15" customHeight="1" x14ac:dyDescent="0.25">
      <c r="A5" s="1"/>
      <c r="B5" s="75"/>
      <c r="C5" s="75"/>
      <c r="D5" s="75"/>
      <c r="E5" s="75"/>
      <c r="F5" s="75"/>
      <c r="G5" s="1"/>
    </row>
    <row r="6" spans="1:7" ht="15" customHeight="1" x14ac:dyDescent="0.25">
      <c r="A6" s="1"/>
      <c r="B6" s="75"/>
      <c r="C6" s="75"/>
      <c r="D6" s="75"/>
      <c r="E6" s="75"/>
      <c r="F6" s="75"/>
      <c r="G6" s="1"/>
    </row>
    <row r="7" spans="1:7" x14ac:dyDescent="0.25">
      <c r="A7" s="1"/>
      <c r="B7" s="1"/>
      <c r="C7" s="1"/>
      <c r="D7" s="1"/>
      <c r="E7" s="1"/>
      <c r="F7" s="1"/>
      <c r="G7" s="1"/>
    </row>
    <row r="8" spans="1:7" x14ac:dyDescent="0.25">
      <c r="A8" s="1"/>
      <c r="B8" s="121" t="s">
        <v>155</v>
      </c>
      <c r="C8" s="122"/>
      <c r="D8" s="122"/>
      <c r="E8" s="122"/>
      <c r="F8" s="123"/>
      <c r="G8" s="1"/>
    </row>
    <row r="9" spans="1:7" x14ac:dyDescent="0.25">
      <c r="A9" s="1"/>
      <c r="B9" s="128" t="s">
        <v>156</v>
      </c>
      <c r="C9" s="129"/>
      <c r="D9" s="130"/>
      <c r="E9" s="9">
        <v>-3804554</v>
      </c>
      <c r="F9" s="14" t="s">
        <v>3</v>
      </c>
      <c r="G9" s="1"/>
    </row>
    <row r="10" spans="1:7" x14ac:dyDescent="0.25">
      <c r="A10" s="1"/>
      <c r="B10" s="143" t="s">
        <v>234</v>
      </c>
      <c r="C10" s="144"/>
      <c r="D10" s="145"/>
      <c r="E10" s="9">
        <v>-3804554</v>
      </c>
      <c r="F10" s="54" t="s">
        <v>3</v>
      </c>
      <c r="G10" s="1"/>
    </row>
    <row r="11" spans="1:7" x14ac:dyDescent="0.25">
      <c r="A11" s="1"/>
      <c r="B11" s="128" t="s">
        <v>185</v>
      </c>
      <c r="C11" s="129"/>
      <c r="D11" s="130"/>
      <c r="E11" s="9">
        <v>-2189501</v>
      </c>
      <c r="F11" s="14" t="s">
        <v>3</v>
      </c>
      <c r="G11" s="1"/>
    </row>
    <row r="12" spans="1:7" x14ac:dyDescent="0.25">
      <c r="A12" s="1"/>
      <c r="B12" s="68"/>
      <c r="C12" s="69"/>
      <c r="D12" s="69"/>
      <c r="E12" s="69"/>
      <c r="F12" s="19"/>
      <c r="G12" s="1"/>
    </row>
    <row r="13" spans="1:7" ht="64.900000000000006" customHeight="1" x14ac:dyDescent="0.25">
      <c r="A13" s="1"/>
      <c r="B13" s="104" t="s">
        <v>252</v>
      </c>
      <c r="C13" s="105"/>
      <c r="D13" s="105"/>
      <c r="E13" s="105"/>
      <c r="F13" s="106"/>
      <c r="G13" s="1"/>
    </row>
    <row r="14" spans="1:7" ht="27" customHeight="1" x14ac:dyDescent="0.25">
      <c r="A14" s="1"/>
      <c r="B14" s="1"/>
      <c r="C14" s="1"/>
      <c r="D14" s="1"/>
      <c r="E14" s="1"/>
      <c r="F14" s="1"/>
      <c r="G14" s="1"/>
    </row>
    <row r="15" spans="1:7" ht="28.5" customHeight="1" x14ac:dyDescent="0.25">
      <c r="A15" s="1"/>
      <c r="B15" s="121" t="s">
        <v>157</v>
      </c>
      <c r="C15" s="122"/>
      <c r="D15" s="122"/>
      <c r="E15" s="122"/>
      <c r="F15" s="123"/>
      <c r="G15" s="1"/>
    </row>
    <row r="16" spans="1:7" x14ac:dyDescent="0.25">
      <c r="A16" s="1"/>
      <c r="B16" s="128" t="s">
        <v>235</v>
      </c>
      <c r="C16" s="129"/>
      <c r="D16" s="130"/>
      <c r="E16" s="9">
        <f>-547375.25*2</f>
        <v>-1094750.5</v>
      </c>
      <c r="F16" s="14" t="s">
        <v>3</v>
      </c>
      <c r="G16" s="1"/>
    </row>
    <row r="17" spans="1:7" x14ac:dyDescent="0.25">
      <c r="A17" s="1"/>
      <c r="B17" s="128" t="s">
        <v>236</v>
      </c>
      <c r="C17" s="129"/>
      <c r="D17" s="130"/>
      <c r="E17" s="9">
        <f>-547375.25*2</f>
        <v>-1094750.5</v>
      </c>
      <c r="F17" s="14" t="s">
        <v>3</v>
      </c>
      <c r="G17" s="1"/>
    </row>
    <row r="18" spans="1:7" x14ac:dyDescent="0.25">
      <c r="A18" s="1"/>
      <c r="B18" s="68"/>
      <c r="C18" s="69"/>
      <c r="D18" s="69"/>
      <c r="E18" s="69"/>
      <c r="F18" s="19"/>
      <c r="G18" s="1"/>
    </row>
    <row r="19" spans="1:7" ht="31.5" customHeight="1" x14ac:dyDescent="0.25">
      <c r="A19" s="1"/>
      <c r="B19" s="104" t="s">
        <v>158</v>
      </c>
      <c r="C19" s="105"/>
      <c r="D19" s="105"/>
      <c r="E19" s="105"/>
      <c r="F19" s="106"/>
      <c r="G19" s="1"/>
    </row>
    <row r="20" spans="1:7" ht="28.5" customHeight="1" x14ac:dyDescent="0.25">
      <c r="A20" s="1"/>
      <c r="B20" s="1"/>
      <c r="C20" s="1"/>
      <c r="D20" s="1"/>
      <c r="E20" s="1"/>
      <c r="F20" s="1"/>
      <c r="G20" s="1"/>
    </row>
    <row r="21" spans="1:7" ht="28.5" customHeight="1" x14ac:dyDescent="0.25">
      <c r="A21" s="1"/>
      <c r="B21" s="72" t="s">
        <v>186</v>
      </c>
      <c r="C21" s="73"/>
      <c r="D21" s="73"/>
      <c r="E21" s="73"/>
      <c r="F21" s="74"/>
      <c r="G21" s="1"/>
    </row>
    <row r="22" spans="1:7" x14ac:dyDescent="0.25">
      <c r="A22" s="1"/>
      <c r="B22" s="77" t="s">
        <v>237</v>
      </c>
      <c r="C22" s="78"/>
      <c r="D22" s="79"/>
      <c r="E22" s="9">
        <v>39936289.606854238</v>
      </c>
      <c r="F22" s="14" t="s">
        <v>3</v>
      </c>
      <c r="G22" s="1"/>
    </row>
    <row r="23" spans="1:7" x14ac:dyDescent="0.25">
      <c r="A23" s="1"/>
      <c r="B23" s="77" t="s">
        <v>187</v>
      </c>
      <c r="C23" s="78"/>
      <c r="D23" s="79"/>
      <c r="E23" s="9">
        <v>36535960</v>
      </c>
      <c r="F23" s="14" t="s">
        <v>3</v>
      </c>
      <c r="G23" s="1"/>
    </row>
    <row r="24" spans="1:7" x14ac:dyDescent="0.25">
      <c r="A24" s="1"/>
      <c r="B24" s="77" t="s">
        <v>31</v>
      </c>
      <c r="C24" s="78"/>
      <c r="D24" s="79"/>
      <c r="E24" s="9">
        <v>0</v>
      </c>
      <c r="F24" s="14" t="s">
        <v>3</v>
      </c>
      <c r="G24" s="1"/>
    </row>
    <row r="25" spans="1:7" x14ac:dyDescent="0.25">
      <c r="A25" s="1"/>
      <c r="B25" s="51" t="s">
        <v>253</v>
      </c>
      <c r="C25" s="52"/>
      <c r="D25" s="53"/>
      <c r="E25" s="57">
        <f>E22-(E23-E24)</f>
        <v>3400329.6068542376</v>
      </c>
      <c r="F25" s="17" t="s">
        <v>3</v>
      </c>
      <c r="G25" s="1"/>
    </row>
    <row r="26" spans="1:7" x14ac:dyDescent="0.25">
      <c r="A26" s="1"/>
      <c r="B26" s="68"/>
      <c r="C26" s="69"/>
      <c r="D26" s="69"/>
      <c r="E26" s="69"/>
      <c r="F26" s="19"/>
      <c r="G26" s="1"/>
    </row>
    <row r="27" spans="1:7" x14ac:dyDescent="0.25">
      <c r="A27" s="1"/>
      <c r="B27" s="1"/>
      <c r="C27" s="1"/>
      <c r="D27" s="1"/>
      <c r="E27" s="1"/>
      <c r="F27" s="1"/>
      <c r="G27" s="1"/>
    </row>
    <row r="28" spans="1:7" ht="28.5" customHeight="1" x14ac:dyDescent="0.25">
      <c r="A28" s="1"/>
      <c r="B28" s="121" t="s">
        <v>238</v>
      </c>
      <c r="C28" s="122"/>
      <c r="D28" s="122"/>
      <c r="E28" s="122"/>
      <c r="F28" s="123"/>
      <c r="G28" s="1"/>
    </row>
    <row r="29" spans="1:7" x14ac:dyDescent="0.25">
      <c r="A29" s="1"/>
      <c r="B29" s="146" t="s">
        <v>128</v>
      </c>
      <c r="C29" s="147"/>
      <c r="D29" s="148"/>
      <c r="E29" s="9">
        <f>IF(AND(E11&gt;0,E25&gt;0),0,IF(AND(E11&lt;0,E25&lt;0),E16+E17+E25,IF(AND(E11&lt;0,E25&gt;0),E16+E17,IF(AND(E9&gt;0,E11&gt;0,E25&lt;0,ABS(E11)&gt;ABS(E25)),0,IF(AND(E9&gt;0,E11&gt;0,E25&lt;0,ABS(E11)&lt;ABS(E25)),(ABS(E11)-ABS(E25)),IF(AND(E9&lt;0,E11&gt;0,E25&lt;0,ABS(E10)&gt;ABS(E11)),E25,IF(AND(E9&lt;0,E11&gt;0,E25&lt;0,ABS(E10)&lt;ABS(E11),ABS(SUM(E10,E11))&gt;ABS(E25)),0,IF(AND(E9&lt;0,E11&gt;0,E25&lt;0,ABS(E10)&lt;ABS(E11),ABS(SUM(E10,E11))&lt;ABS(E25)),(ABS(SUM(E10,E11))-ABS(E25)),"fejl"))))))))</f>
        <v>-2189501</v>
      </c>
      <c r="F29" s="14" t="s">
        <v>3</v>
      </c>
      <c r="G29" s="1"/>
    </row>
    <row r="30" spans="1:7" x14ac:dyDescent="0.25">
      <c r="A30" s="1"/>
      <c r="B30" s="146" t="s">
        <v>93</v>
      </c>
      <c r="C30" s="147"/>
      <c r="D30" s="148"/>
      <c r="E30" s="9">
        <v>2</v>
      </c>
      <c r="F30" s="14" t="s">
        <v>18</v>
      </c>
      <c r="G30" s="1"/>
    </row>
    <row r="31" spans="1:7" x14ac:dyDescent="0.25">
      <c r="A31" s="1"/>
      <c r="B31" s="139" t="s">
        <v>127</v>
      </c>
      <c r="C31" s="139"/>
      <c r="D31" s="139"/>
      <c r="E31" s="10">
        <f>E29/E30</f>
        <v>-1094750.5</v>
      </c>
      <c r="F31" s="17" t="s">
        <v>3</v>
      </c>
      <c r="G31" s="1"/>
    </row>
    <row r="32" spans="1:7" x14ac:dyDescent="0.25">
      <c r="A32" s="1"/>
      <c r="B32" s="140"/>
      <c r="C32" s="141"/>
      <c r="D32" s="141"/>
      <c r="E32" s="141"/>
      <c r="F32" s="142"/>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B38" s="55"/>
      <c r="C38" s="55"/>
      <c r="D38" s="55"/>
      <c r="E38" s="55"/>
      <c r="F38" s="55"/>
    </row>
    <row r="39" spans="1:7" x14ac:dyDescent="0.25">
      <c r="A39" s="55"/>
      <c r="B39" s="55"/>
      <c r="C39" s="55"/>
      <c r="D39" s="55"/>
      <c r="E39" s="55"/>
      <c r="F39" s="55"/>
      <c r="G39" s="55"/>
    </row>
    <row r="40" spans="1:7" x14ac:dyDescent="0.25">
      <c r="A40" s="55"/>
      <c r="B40" s="55"/>
      <c r="C40" s="55"/>
      <c r="D40" s="55"/>
      <c r="E40" s="55"/>
      <c r="F40" s="55"/>
      <c r="G40" s="55"/>
    </row>
    <row r="41" spans="1:7" x14ac:dyDescent="0.25">
      <c r="A41" s="55"/>
      <c r="B41" s="55"/>
      <c r="C41" s="55"/>
      <c r="D41" s="55"/>
      <c r="E41" s="55"/>
      <c r="F41" s="55"/>
      <c r="G41" s="55"/>
    </row>
    <row r="42" spans="1:7" x14ac:dyDescent="0.25">
      <c r="A42" s="55"/>
      <c r="B42" s="55"/>
      <c r="C42" s="55"/>
      <c r="D42" s="55"/>
      <c r="E42" s="55"/>
      <c r="F42" s="55"/>
      <c r="G42" s="55"/>
    </row>
  </sheetData>
  <sheetProtection algorithmName="SHA-512" hashValue="2JC1SydR+sJKABR32t503hzmYglR0irMMUXbbhjPhxtHl07eak4bNxlZdA/jeiItog4xB80opQB4Latmtz0gkQ==" saltValue="/DtI9g9YDm9rHzbfzF7y8A==" spinCount="100000" sheet="1" objects="1" scenarios="1"/>
  <mergeCells count="15">
    <mergeCell ref="B31:D31"/>
    <mergeCell ref="B32:F32"/>
    <mergeCell ref="B8:F8"/>
    <mergeCell ref="B10:D10"/>
    <mergeCell ref="B11:D11"/>
    <mergeCell ref="B30:D30"/>
    <mergeCell ref="B19:F19"/>
    <mergeCell ref="B28:F28"/>
    <mergeCell ref="B29:D29"/>
    <mergeCell ref="B3:F4"/>
    <mergeCell ref="B17:D17"/>
    <mergeCell ref="B9:D9"/>
    <mergeCell ref="B13:F13"/>
    <mergeCell ref="B15:F15"/>
    <mergeCell ref="B16:D16"/>
  </mergeCells>
  <pageMargins left="0.70866141732283461" right="0.70866141732283461"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dimension ref="A1:I50"/>
  <sheetViews>
    <sheetView view="pageLayout" zoomScaleNormal="100" workbookViewId="0"/>
  </sheetViews>
  <sheetFormatPr defaultColWidth="9" defaultRowHeight="15" x14ac:dyDescent="0.25"/>
  <cols>
    <col min="1" max="1" width="4.7109375" style="40" customWidth="1"/>
    <col min="2" max="2" width="22.5703125" style="40" customWidth="1"/>
    <col min="3" max="3" width="8.28515625" style="40" customWidth="1"/>
    <col min="4" max="6" width="10.7109375" style="40" customWidth="1"/>
    <col min="7" max="7" width="11" style="40" customWidth="1"/>
    <col min="8" max="8" width="3.28515625" style="40" customWidth="1"/>
    <col min="9" max="9" width="4.85546875" style="40" customWidth="1"/>
    <col min="10" max="16384" width="9" style="40"/>
  </cols>
  <sheetData>
    <row r="1" spans="1:9" x14ac:dyDescent="0.25">
      <c r="A1" s="1"/>
      <c r="B1" s="1"/>
      <c r="C1" s="1"/>
      <c r="D1" s="1"/>
      <c r="E1" s="1"/>
      <c r="F1" s="1"/>
      <c r="G1" s="1"/>
      <c r="H1" s="1"/>
      <c r="I1" s="1"/>
    </row>
    <row r="2" spans="1:9" x14ac:dyDescent="0.25">
      <c r="A2" s="1"/>
      <c r="B2" s="1"/>
      <c r="C2" s="1"/>
      <c r="D2" s="1"/>
      <c r="E2" s="1"/>
      <c r="F2" s="1"/>
      <c r="G2" s="1"/>
      <c r="H2" s="1"/>
      <c r="I2" s="1"/>
    </row>
    <row r="3" spans="1:9" ht="15" customHeight="1" x14ac:dyDescent="0.25">
      <c r="A3" s="1"/>
      <c r="B3" s="102" t="s">
        <v>226</v>
      </c>
      <c r="C3" s="102"/>
      <c r="D3" s="102"/>
      <c r="E3" s="102"/>
      <c r="F3" s="102"/>
      <c r="G3" s="102"/>
      <c r="H3" s="102"/>
      <c r="I3" s="1"/>
    </row>
    <row r="4" spans="1:9" ht="15" customHeight="1" x14ac:dyDescent="0.25">
      <c r="A4" s="1"/>
      <c r="B4" s="102"/>
      <c r="C4" s="102"/>
      <c r="D4" s="102"/>
      <c r="E4" s="102"/>
      <c r="F4" s="102"/>
      <c r="G4" s="102"/>
      <c r="H4" s="102"/>
      <c r="I4" s="1"/>
    </row>
    <row r="5" spans="1:9" x14ac:dyDescent="0.25">
      <c r="A5" s="1"/>
      <c r="B5" s="1"/>
      <c r="C5" s="1"/>
      <c r="D5" s="1"/>
      <c r="E5" s="1"/>
      <c r="F5" s="1"/>
      <c r="G5" s="1"/>
      <c r="H5" s="1"/>
      <c r="I5" s="1"/>
    </row>
    <row r="6" spans="1:9" x14ac:dyDescent="0.25">
      <c r="A6" s="1"/>
      <c r="B6" s="1"/>
      <c r="C6" s="1"/>
      <c r="D6" s="1"/>
      <c r="E6" s="1"/>
      <c r="F6" s="1"/>
      <c r="G6" s="1"/>
      <c r="H6" s="1"/>
      <c r="I6" s="1"/>
    </row>
    <row r="7" spans="1:9" x14ac:dyDescent="0.25">
      <c r="A7" s="1"/>
      <c r="B7" s="1"/>
      <c r="C7" s="1"/>
      <c r="D7" s="1"/>
      <c r="E7" s="1"/>
      <c r="F7" s="1"/>
      <c r="G7" s="1"/>
      <c r="H7" s="1"/>
      <c r="I7" s="1"/>
    </row>
    <row r="8" spans="1:9" x14ac:dyDescent="0.25">
      <c r="A8" s="1"/>
      <c r="B8" s="121" t="s">
        <v>227</v>
      </c>
      <c r="C8" s="122"/>
      <c r="D8" s="122"/>
      <c r="E8" s="122"/>
      <c r="F8" s="122"/>
      <c r="G8" s="122"/>
      <c r="H8" s="123"/>
      <c r="I8" s="1"/>
    </row>
    <row r="9" spans="1:9" ht="15" customHeight="1" x14ac:dyDescent="0.25">
      <c r="A9" s="1"/>
      <c r="B9" s="113" t="s">
        <v>228</v>
      </c>
      <c r="C9" s="114"/>
      <c r="D9" s="114"/>
      <c r="E9" s="114"/>
      <c r="F9" s="114"/>
      <c r="G9" s="114"/>
      <c r="H9" s="115"/>
      <c r="I9" s="1"/>
    </row>
    <row r="10" spans="1:9" x14ac:dyDescent="0.25">
      <c r="A10" s="1"/>
      <c r="B10" s="149" t="s">
        <v>244</v>
      </c>
      <c r="C10" s="150"/>
      <c r="D10" s="150"/>
      <c r="E10" s="150"/>
      <c r="F10" s="151"/>
      <c r="G10" s="56">
        <v>0</v>
      </c>
      <c r="H10" s="9" t="s">
        <v>3</v>
      </c>
      <c r="I10" s="1"/>
    </row>
    <row r="11" spans="1:9" x14ac:dyDescent="0.25">
      <c r="A11" s="1"/>
      <c r="B11" s="149" t="s">
        <v>245</v>
      </c>
      <c r="C11" s="150"/>
      <c r="D11" s="150"/>
      <c r="E11" s="150"/>
      <c r="F11" s="151"/>
      <c r="G11" s="56">
        <v>0</v>
      </c>
      <c r="H11" s="9" t="s">
        <v>3</v>
      </c>
      <c r="I11" s="1"/>
    </row>
    <row r="12" spans="1:9" x14ac:dyDescent="0.25">
      <c r="A12" s="1"/>
      <c r="B12" s="149" t="s">
        <v>246</v>
      </c>
      <c r="C12" s="150"/>
      <c r="D12" s="150"/>
      <c r="E12" s="150"/>
      <c r="F12" s="151"/>
      <c r="G12" s="9">
        <v>0</v>
      </c>
      <c r="H12" s="9" t="s">
        <v>3</v>
      </c>
      <c r="I12" s="1"/>
    </row>
    <row r="13" spans="1:9" x14ac:dyDescent="0.25">
      <c r="A13" s="1"/>
      <c r="B13" s="149" t="s">
        <v>247</v>
      </c>
      <c r="C13" s="150"/>
      <c r="D13" s="150"/>
      <c r="E13" s="150"/>
      <c r="F13" s="151"/>
      <c r="G13" s="9">
        <v>0</v>
      </c>
      <c r="H13" s="9" t="s">
        <v>3</v>
      </c>
      <c r="I13" s="1"/>
    </row>
    <row r="14" spans="1:9" x14ac:dyDescent="0.25">
      <c r="A14" s="1"/>
      <c r="B14" s="149" t="s">
        <v>248</v>
      </c>
      <c r="C14" s="150"/>
      <c r="D14" s="150"/>
      <c r="E14" s="150"/>
      <c r="F14" s="151"/>
      <c r="G14" s="9">
        <v>0</v>
      </c>
      <c r="H14" s="9" t="s">
        <v>3</v>
      </c>
      <c r="I14" s="1"/>
    </row>
    <row r="15" spans="1:9" x14ac:dyDescent="0.25">
      <c r="A15" s="1"/>
      <c r="B15" s="149" t="s">
        <v>249</v>
      </c>
      <c r="C15" s="150"/>
      <c r="D15" s="150"/>
      <c r="E15" s="150"/>
      <c r="F15" s="151"/>
      <c r="G15" s="9">
        <v>0</v>
      </c>
      <c r="H15" s="9" t="s">
        <v>3</v>
      </c>
      <c r="I15" s="1"/>
    </row>
    <row r="16" spans="1:9" x14ac:dyDescent="0.25">
      <c r="A16" s="1"/>
      <c r="B16" s="149" t="s">
        <v>250</v>
      </c>
      <c r="C16" s="150"/>
      <c r="D16" s="150"/>
      <c r="E16" s="150"/>
      <c r="F16" s="151"/>
      <c r="G16" s="9">
        <v>0</v>
      </c>
      <c r="H16" s="9" t="s">
        <v>3</v>
      </c>
      <c r="I16" s="1"/>
    </row>
    <row r="17" spans="1:9" x14ac:dyDescent="0.25">
      <c r="A17" s="1"/>
      <c r="B17" s="149" t="s">
        <v>251</v>
      </c>
      <c r="C17" s="150"/>
      <c r="D17" s="150"/>
      <c r="E17" s="150"/>
      <c r="F17" s="151"/>
      <c r="G17" s="9">
        <v>0</v>
      </c>
      <c r="H17" s="9" t="s">
        <v>3</v>
      </c>
      <c r="I17" s="1"/>
    </row>
    <row r="18" spans="1:9" x14ac:dyDescent="0.25">
      <c r="A18" s="1"/>
      <c r="B18" s="121" t="s">
        <v>229</v>
      </c>
      <c r="C18" s="122"/>
      <c r="D18" s="122"/>
      <c r="E18" s="122"/>
      <c r="F18" s="123"/>
      <c r="G18" s="12">
        <f>SUM(G10:G17)</f>
        <v>0</v>
      </c>
      <c r="H18" s="13" t="s">
        <v>3</v>
      </c>
      <c r="I18" s="1"/>
    </row>
    <row r="19" spans="1:9" x14ac:dyDescent="0.25">
      <c r="A19" s="1"/>
      <c r="B19" s="1"/>
      <c r="C19" s="1"/>
      <c r="D19" s="1"/>
      <c r="E19" s="1"/>
      <c r="F19" s="1"/>
      <c r="G19" s="1"/>
      <c r="H19" s="1"/>
      <c r="I19" s="1"/>
    </row>
    <row r="20" spans="1:9" x14ac:dyDescent="0.25">
      <c r="A20" s="1"/>
      <c r="B20" s="1"/>
      <c r="C20" s="1"/>
      <c r="D20" s="1"/>
      <c r="E20" s="1"/>
      <c r="F20" s="1"/>
      <c r="G20" s="1"/>
      <c r="H20" s="1"/>
      <c r="I20" s="1"/>
    </row>
    <row r="21" spans="1:9" x14ac:dyDescent="0.25">
      <c r="A21" s="1"/>
      <c r="B21" s="1"/>
      <c r="C21" s="1"/>
      <c r="D21" s="1"/>
      <c r="E21" s="1"/>
      <c r="F21" s="1"/>
      <c r="G21" s="1"/>
      <c r="H21" s="1"/>
      <c r="I21" s="1"/>
    </row>
    <row r="22" spans="1:9" x14ac:dyDescent="0.25">
      <c r="A22" s="1"/>
      <c r="B22" s="1"/>
      <c r="C22" s="1"/>
      <c r="D22" s="1"/>
      <c r="E22" s="1"/>
      <c r="F22" s="1"/>
      <c r="G22" s="1"/>
      <c r="H22" s="1"/>
      <c r="I22" s="1"/>
    </row>
    <row r="23" spans="1:9" x14ac:dyDescent="0.25">
      <c r="A23" s="1"/>
      <c r="B23" s="1"/>
      <c r="C23" s="1"/>
      <c r="D23" s="1"/>
      <c r="E23" s="1"/>
      <c r="F23" s="1"/>
      <c r="G23" s="1"/>
      <c r="H23" s="1"/>
      <c r="I23" s="1"/>
    </row>
    <row r="24" spans="1:9" x14ac:dyDescent="0.25">
      <c r="A24" s="1"/>
      <c r="B24" s="1"/>
      <c r="C24" s="1"/>
      <c r="D24" s="1"/>
      <c r="E24" s="1"/>
      <c r="F24" s="1"/>
      <c r="G24" s="1"/>
      <c r="H24" s="1"/>
      <c r="I24" s="1"/>
    </row>
    <row r="25" spans="1:9" x14ac:dyDescent="0.25">
      <c r="A25" s="1"/>
      <c r="B25" s="1"/>
      <c r="C25" s="1"/>
      <c r="D25" s="1"/>
      <c r="E25" s="1"/>
      <c r="F25" s="1"/>
      <c r="G25" s="1"/>
      <c r="H25" s="1"/>
      <c r="I25" s="1"/>
    </row>
    <row r="26" spans="1:9" x14ac:dyDescent="0.25">
      <c r="A26" s="1"/>
      <c r="B26" s="1"/>
      <c r="C26" s="1"/>
      <c r="D26" s="1"/>
      <c r="E26" s="1"/>
      <c r="F26" s="1"/>
      <c r="G26" s="1"/>
      <c r="H26" s="1"/>
      <c r="I26" s="1"/>
    </row>
    <row r="27" spans="1:9" x14ac:dyDescent="0.25">
      <c r="A27" s="1"/>
      <c r="B27" s="1"/>
      <c r="C27" s="1"/>
      <c r="D27" s="1"/>
      <c r="E27" s="1"/>
      <c r="F27" s="1"/>
      <c r="G27" s="1"/>
      <c r="H27" s="1"/>
      <c r="I27" s="1"/>
    </row>
    <row r="28" spans="1:9" x14ac:dyDescent="0.25">
      <c r="A28" s="1"/>
      <c r="B28" s="1"/>
      <c r="C28" s="1"/>
      <c r="D28" s="1"/>
      <c r="E28" s="1"/>
      <c r="F28" s="1"/>
      <c r="G28" s="1"/>
      <c r="H28" s="1"/>
      <c r="I28" s="1"/>
    </row>
    <row r="29" spans="1:9" x14ac:dyDescent="0.25">
      <c r="A29" s="1"/>
      <c r="B29" s="1"/>
      <c r="C29" s="1"/>
      <c r="D29" s="1"/>
      <c r="E29" s="1"/>
      <c r="F29" s="1"/>
      <c r="G29" s="1"/>
      <c r="H29" s="1"/>
      <c r="I29" s="1"/>
    </row>
    <row r="30" spans="1:9" x14ac:dyDescent="0.25">
      <c r="A30" s="1"/>
      <c r="B30" s="1"/>
      <c r="C30" s="1"/>
      <c r="D30" s="1"/>
      <c r="E30" s="1"/>
      <c r="F30" s="1"/>
      <c r="G30" s="1"/>
      <c r="H30" s="1"/>
      <c r="I30" s="1"/>
    </row>
    <row r="31" spans="1:9" x14ac:dyDescent="0.25">
      <c r="A31" s="1"/>
      <c r="B31" s="1"/>
      <c r="C31" s="1"/>
      <c r="D31" s="1"/>
      <c r="E31" s="1"/>
      <c r="F31" s="1"/>
      <c r="G31" s="1"/>
      <c r="H31" s="1"/>
      <c r="I31" s="1"/>
    </row>
    <row r="32" spans="1:9" x14ac:dyDescent="0.25">
      <c r="A32" s="1"/>
      <c r="B32" s="1"/>
      <c r="C32" s="1"/>
      <c r="D32" s="1"/>
      <c r="E32" s="1"/>
      <c r="F32" s="1"/>
      <c r="G32" s="1"/>
      <c r="H32" s="1"/>
      <c r="I32" s="1"/>
    </row>
    <row r="33" spans="1:9" x14ac:dyDescent="0.25">
      <c r="A33" s="1"/>
      <c r="B33" s="1"/>
      <c r="C33" s="1"/>
      <c r="D33" s="1"/>
      <c r="E33" s="1"/>
      <c r="F33" s="1"/>
      <c r="G33" s="1"/>
      <c r="H33" s="1"/>
      <c r="I33" s="1"/>
    </row>
    <row r="34" spans="1:9" x14ac:dyDescent="0.25">
      <c r="A34" s="1"/>
      <c r="B34" s="1"/>
      <c r="C34" s="1"/>
      <c r="D34" s="1"/>
      <c r="E34" s="1"/>
      <c r="F34" s="1"/>
      <c r="G34" s="1"/>
      <c r="H34" s="1"/>
      <c r="I34" s="1"/>
    </row>
    <row r="35" spans="1:9" x14ac:dyDescent="0.25">
      <c r="A35" s="1"/>
      <c r="B35" s="1"/>
      <c r="C35" s="1"/>
      <c r="D35" s="1"/>
      <c r="E35" s="1"/>
      <c r="F35" s="1"/>
      <c r="G35" s="1"/>
      <c r="H35" s="1"/>
      <c r="I35" s="1"/>
    </row>
    <row r="36" spans="1:9" x14ac:dyDescent="0.25">
      <c r="A36" s="1"/>
      <c r="B36" s="1"/>
      <c r="C36" s="1"/>
      <c r="D36" s="1"/>
      <c r="E36" s="1"/>
      <c r="F36" s="1"/>
      <c r="G36" s="1"/>
      <c r="H36" s="1"/>
      <c r="I36" s="1"/>
    </row>
    <row r="37" spans="1:9" x14ac:dyDescent="0.25">
      <c r="A37" s="1"/>
      <c r="B37" s="1"/>
      <c r="C37" s="1"/>
      <c r="D37" s="1"/>
      <c r="E37" s="1"/>
      <c r="F37" s="1"/>
      <c r="G37" s="1"/>
      <c r="H37" s="1"/>
      <c r="I37" s="1"/>
    </row>
    <row r="38" spans="1:9" x14ac:dyDescent="0.25">
      <c r="A38" s="1"/>
      <c r="B38" s="1"/>
      <c r="C38" s="1"/>
      <c r="D38" s="1"/>
      <c r="E38" s="1"/>
      <c r="F38" s="1"/>
      <c r="G38" s="1"/>
      <c r="H38" s="1"/>
      <c r="I38" s="1"/>
    </row>
    <row r="39" spans="1:9" x14ac:dyDescent="0.25">
      <c r="A39" s="1"/>
      <c r="B39" s="1"/>
      <c r="C39" s="1"/>
      <c r="D39" s="1"/>
      <c r="E39" s="1"/>
      <c r="F39" s="1"/>
      <c r="G39" s="1"/>
      <c r="H39" s="1"/>
      <c r="I39" s="1"/>
    </row>
    <row r="40" spans="1:9" x14ac:dyDescent="0.25">
      <c r="A40" s="1"/>
      <c r="B40" s="1"/>
      <c r="C40" s="1"/>
      <c r="D40" s="1"/>
      <c r="E40" s="1"/>
      <c r="F40" s="1"/>
      <c r="G40" s="1"/>
      <c r="H40" s="1"/>
      <c r="I40" s="1"/>
    </row>
    <row r="41" spans="1:9" x14ac:dyDescent="0.25">
      <c r="A41" s="1"/>
      <c r="B41" s="1"/>
      <c r="C41" s="1"/>
      <c r="D41" s="1"/>
      <c r="E41" s="1"/>
      <c r="F41" s="1"/>
      <c r="G41" s="1"/>
      <c r="H41" s="1"/>
      <c r="I41" s="1"/>
    </row>
    <row r="42" spans="1:9" x14ac:dyDescent="0.25">
      <c r="A42" s="1"/>
      <c r="B42" s="1"/>
      <c r="C42" s="1"/>
      <c r="D42" s="1"/>
      <c r="E42" s="1"/>
      <c r="F42" s="1"/>
      <c r="G42" s="1"/>
      <c r="H42" s="1"/>
      <c r="I42" s="1"/>
    </row>
    <row r="43" spans="1:9" x14ac:dyDescent="0.25">
      <c r="A43" s="1"/>
      <c r="B43" s="1"/>
      <c r="C43" s="1"/>
      <c r="D43" s="1"/>
      <c r="E43" s="1"/>
      <c r="F43" s="1"/>
      <c r="G43" s="1"/>
      <c r="H43" s="1"/>
      <c r="I43" s="1"/>
    </row>
    <row r="44" spans="1:9" x14ac:dyDescent="0.25">
      <c r="A44" s="1"/>
      <c r="B44" s="1"/>
      <c r="C44" s="1"/>
      <c r="D44" s="1"/>
      <c r="E44" s="1"/>
      <c r="F44" s="1"/>
      <c r="G44" s="1"/>
      <c r="H44" s="1"/>
      <c r="I44" s="1"/>
    </row>
    <row r="45" spans="1:9" x14ac:dyDescent="0.25">
      <c r="A45" s="1"/>
      <c r="B45" s="1"/>
      <c r="C45" s="1"/>
      <c r="D45" s="1"/>
      <c r="E45" s="1"/>
      <c r="F45" s="1"/>
      <c r="G45" s="1"/>
      <c r="H45" s="1"/>
      <c r="I45" s="1"/>
    </row>
    <row r="46" spans="1:9" x14ac:dyDescent="0.25">
      <c r="A46" s="1"/>
      <c r="B46" s="1"/>
      <c r="C46" s="1"/>
      <c r="D46" s="1"/>
      <c r="E46" s="1"/>
      <c r="F46" s="1"/>
      <c r="G46" s="1"/>
      <c r="H46" s="1"/>
      <c r="I46" s="1"/>
    </row>
    <row r="47" spans="1:9" x14ac:dyDescent="0.25">
      <c r="A47" s="1"/>
      <c r="B47" s="1"/>
      <c r="C47" s="1"/>
      <c r="D47" s="1"/>
      <c r="E47" s="1"/>
      <c r="F47" s="1"/>
      <c r="G47" s="1"/>
      <c r="H47" s="1"/>
      <c r="I47" s="1"/>
    </row>
    <row r="48" spans="1:9" x14ac:dyDescent="0.25">
      <c r="A48" s="1"/>
      <c r="B48" s="1"/>
      <c r="C48" s="1"/>
      <c r="D48" s="1"/>
      <c r="E48" s="1"/>
      <c r="F48" s="1"/>
      <c r="G48" s="1"/>
      <c r="H48" s="1"/>
      <c r="I48" s="1"/>
    </row>
    <row r="49" spans="1:9" x14ac:dyDescent="0.25">
      <c r="A49" s="1"/>
      <c r="B49" s="1"/>
      <c r="C49" s="1"/>
      <c r="D49" s="1"/>
      <c r="E49" s="1"/>
      <c r="F49" s="1"/>
      <c r="G49" s="1"/>
      <c r="H49" s="1"/>
      <c r="I49" s="1"/>
    </row>
    <row r="50" spans="1:9" x14ac:dyDescent="0.25">
      <c r="A50" s="1"/>
      <c r="B50" s="1"/>
      <c r="C50" s="1"/>
      <c r="D50" s="1"/>
      <c r="E50" s="1"/>
      <c r="F50" s="1"/>
      <c r="G50" s="1"/>
      <c r="H50" s="1"/>
      <c r="I50" s="1"/>
    </row>
  </sheetData>
  <sheetProtection algorithmName="SHA-512" hashValue="wrxP+AFvoMvHY1nRmR4BTJAb0W2pJw4Q6RW9cNaLoqQrva7ViARpoyZWdEnka0OL8b/lUlIUWqUmdZ3PGwGxoQ==" saltValue="aPhiIU573UaLeyROvGUs9A==" spinCount="100000" sheet="1" objects="1" scenarios="1"/>
  <mergeCells count="12">
    <mergeCell ref="B17:F17"/>
    <mergeCell ref="B18:F18"/>
    <mergeCell ref="B12:F12"/>
    <mergeCell ref="B13:F13"/>
    <mergeCell ref="B14:F14"/>
    <mergeCell ref="B15:F15"/>
    <mergeCell ref="B16:F16"/>
    <mergeCell ref="B11:F11"/>
    <mergeCell ref="B3:H4"/>
    <mergeCell ref="B8:H8"/>
    <mergeCell ref="B9:H9"/>
    <mergeCell ref="B10:F10"/>
  </mergeCell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dimension ref="A1:L46"/>
  <sheetViews>
    <sheetView showGridLines="0" view="pageLayout" zoomScaleNormal="100" workbookViewId="0"/>
  </sheetViews>
  <sheetFormatPr defaultColWidth="9" defaultRowHeight="15" x14ac:dyDescent="0.25"/>
  <cols>
    <col min="1" max="1" width="3.85546875" style="2" customWidth="1"/>
    <col min="2" max="2" width="21" style="2" customWidth="1"/>
    <col min="3" max="3" width="7.28515625" style="2" customWidth="1"/>
    <col min="4" max="4" width="9.28515625" style="2" customWidth="1"/>
    <col min="5" max="5" width="2.7109375" style="2" customWidth="1"/>
    <col min="6" max="6" width="10" style="2" customWidth="1"/>
    <col min="7" max="7" width="2.7109375" style="2" customWidth="1"/>
    <col min="8" max="8" width="10" style="2" customWidth="1"/>
    <col min="9" max="9" width="2.7109375" style="2" customWidth="1"/>
    <col min="10" max="10" width="10" style="2" customWidth="1"/>
    <col min="11" max="11" width="3" style="2" customWidth="1"/>
    <col min="12" max="12" width="3.85546875" style="2" customWidth="1"/>
    <col min="13" max="16384" width="9" style="2"/>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2" t="s">
        <v>220</v>
      </c>
      <c r="C3" s="102"/>
      <c r="D3" s="102"/>
      <c r="E3" s="102"/>
      <c r="F3" s="102"/>
      <c r="G3" s="102"/>
      <c r="H3" s="102"/>
      <c r="I3" s="102"/>
      <c r="J3" s="102"/>
      <c r="K3" s="102"/>
      <c r="L3" s="1"/>
    </row>
    <row r="4" spans="1:12" ht="15" customHeight="1" x14ac:dyDescent="0.25">
      <c r="A4" s="1"/>
      <c r="B4" s="102"/>
      <c r="C4" s="102"/>
      <c r="D4" s="102"/>
      <c r="E4" s="102"/>
      <c r="F4" s="102"/>
      <c r="G4" s="102"/>
      <c r="H4" s="102"/>
      <c r="I4" s="102"/>
      <c r="J4" s="102"/>
      <c r="K4" s="10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21" t="s">
        <v>192</v>
      </c>
      <c r="C8" s="122"/>
      <c r="D8" s="122"/>
      <c r="E8" s="122"/>
      <c r="F8" s="122"/>
      <c r="G8" s="122"/>
      <c r="H8" s="122"/>
      <c r="I8" s="122"/>
      <c r="J8" s="122"/>
      <c r="K8" s="123"/>
      <c r="L8" s="1"/>
    </row>
    <row r="9" spans="1:12" ht="39.75" customHeight="1" x14ac:dyDescent="0.25">
      <c r="A9" s="1"/>
      <c r="B9" s="18" t="s">
        <v>0</v>
      </c>
      <c r="C9" s="18" t="s">
        <v>1</v>
      </c>
      <c r="D9" s="152" t="s">
        <v>213</v>
      </c>
      <c r="E9" s="153"/>
      <c r="F9" s="152" t="s">
        <v>2</v>
      </c>
      <c r="G9" s="153"/>
      <c r="H9" s="152" t="s">
        <v>214</v>
      </c>
      <c r="I9" s="153"/>
      <c r="J9" s="152" t="s">
        <v>28</v>
      </c>
      <c r="K9" s="153"/>
      <c r="L9" s="1"/>
    </row>
    <row r="10" spans="1:12" x14ac:dyDescent="0.25">
      <c r="A10" s="1"/>
      <c r="B10" s="83" t="s">
        <v>239</v>
      </c>
      <c r="C10" s="29">
        <v>0</v>
      </c>
      <c r="D10" s="9">
        <v>0</v>
      </c>
      <c r="E10" s="14" t="s">
        <v>3</v>
      </c>
      <c r="F10" s="39">
        <f>IFERROR(D10/C10,0)</f>
        <v>0</v>
      </c>
      <c r="G10" s="14" t="s">
        <v>3</v>
      </c>
      <c r="H10" s="9">
        <v>0</v>
      </c>
      <c r="I10" s="14" t="s">
        <v>3</v>
      </c>
      <c r="J10" s="9">
        <v>0</v>
      </c>
      <c r="K10" s="14" t="s">
        <v>3</v>
      </c>
      <c r="L10" s="1"/>
    </row>
    <row r="11" spans="1:12" x14ac:dyDescent="0.25">
      <c r="A11" s="1"/>
      <c r="B11" s="68" t="s">
        <v>193</v>
      </c>
      <c r="C11" s="69"/>
      <c r="D11" s="19"/>
      <c r="E11" s="74"/>
      <c r="F11" s="12">
        <f>SUM(F10:F10)</f>
        <v>0</v>
      </c>
      <c r="G11" s="13" t="s">
        <v>3</v>
      </c>
      <c r="H11" s="12">
        <f>SUM(H10:H10)</f>
        <v>0</v>
      </c>
      <c r="I11" s="13" t="s">
        <v>3</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sheetData>
  <sheetProtection algorithmName="SHA-512" hashValue="cAZRsUhI2G2v/4K4bUeVEBMA8E1MUV79tSR27R5kIlurTpd0hNovD5qmn9GDgzeDewdhyMdY6HgVaXJ4jAAJeA==" saltValue="beqoTi5DmVRTpBD8jCacwA==" spinCount="100000" sheet="1" objects="1" scenarios="1"/>
  <mergeCells count="6">
    <mergeCell ref="B3:K4"/>
    <mergeCell ref="B8:K8"/>
    <mergeCell ref="D9:E9"/>
    <mergeCell ref="F9:G9"/>
    <mergeCell ref="H9:I9"/>
    <mergeCell ref="J9:K9"/>
  </mergeCells>
  <pageMargins left="0.70866141732283461" right="0.70866141732283461" top="0.74803149606299213" bottom="0.74803149606299213" header="0.31496062992125984" footer="0.31496062992125984"/>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dimension ref="A1:G50"/>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221</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75</v>
      </c>
      <c r="C8" s="69"/>
      <c r="D8" s="69"/>
      <c r="E8" s="69"/>
      <c r="F8" s="19"/>
      <c r="G8" s="1"/>
    </row>
    <row r="9" spans="1:7" ht="17.25" customHeight="1" x14ac:dyDescent="0.25">
      <c r="A9" s="1"/>
      <c r="B9" s="66" t="s">
        <v>15</v>
      </c>
      <c r="C9" s="66" t="s">
        <v>10</v>
      </c>
      <c r="D9" s="67"/>
      <c r="E9" s="66" t="s">
        <v>29</v>
      </c>
      <c r="F9" s="71"/>
      <c r="G9" s="1"/>
    </row>
    <row r="10" spans="1:7" x14ac:dyDescent="0.25">
      <c r="A10" s="1"/>
      <c r="B10" s="22" t="s">
        <v>203</v>
      </c>
      <c r="C10" s="21">
        <f>'Fane 9. Anlægsprojekter (§ 19) '!H11</f>
        <v>0</v>
      </c>
      <c r="D10" s="14" t="s">
        <v>3</v>
      </c>
      <c r="E10" s="9">
        <f>'Fane 9. Anlægsprojekter (§ 19) '!F11+'Fane 9. Anlægsprojekter (§ 19) '!J11</f>
        <v>0</v>
      </c>
      <c r="F10" s="14" t="s">
        <v>3</v>
      </c>
      <c r="G10" s="1"/>
    </row>
    <row r="11" spans="1:7" x14ac:dyDescent="0.25">
      <c r="A11" s="1"/>
      <c r="B11" s="26" t="s">
        <v>242</v>
      </c>
      <c r="C11" s="21">
        <v>0</v>
      </c>
      <c r="D11" s="14" t="s">
        <v>3</v>
      </c>
      <c r="E11" s="9">
        <v>3900</v>
      </c>
      <c r="F11" s="14" t="s">
        <v>3</v>
      </c>
      <c r="G11" s="1"/>
    </row>
    <row r="12" spans="1:7" x14ac:dyDescent="0.25">
      <c r="A12" s="1"/>
      <c r="B12" s="26" t="s">
        <v>243</v>
      </c>
      <c r="C12" s="21">
        <v>802750</v>
      </c>
      <c r="D12" s="14" t="s">
        <v>3</v>
      </c>
      <c r="E12" s="9">
        <v>28333</v>
      </c>
      <c r="F12" s="14" t="s">
        <v>3</v>
      </c>
      <c r="G12" s="1"/>
    </row>
    <row r="13" spans="1:7" x14ac:dyDescent="0.25">
      <c r="A13" s="1"/>
      <c r="B13" s="68" t="s">
        <v>148</v>
      </c>
      <c r="C13" s="12">
        <f>SUM(C10:C12)</f>
        <v>802750</v>
      </c>
      <c r="D13" s="13" t="s">
        <v>3</v>
      </c>
      <c r="E13" s="12">
        <f>SUM(E10:E12)</f>
        <v>32233</v>
      </c>
      <c r="F13" s="13" t="s">
        <v>3</v>
      </c>
      <c r="G13" s="1"/>
    </row>
    <row r="14" spans="1:7" x14ac:dyDescent="0.25">
      <c r="A14" s="1"/>
      <c r="B14" s="68" t="s">
        <v>188</v>
      </c>
      <c r="C14" s="12">
        <f>C13*(1+'Fane 13. Nøgletal'!C15)</f>
        <v>831327.9</v>
      </c>
      <c r="D14" s="13" t="s">
        <v>3</v>
      </c>
      <c r="E14" s="12">
        <f>E13*(1+'Fane 13. Nøgletal'!C15)</f>
        <v>33380.4948</v>
      </c>
      <c r="F14" s="13" t="s">
        <v>3</v>
      </c>
      <c r="G14" s="1"/>
    </row>
    <row r="15" spans="1:7" x14ac:dyDescent="0.25">
      <c r="A15" s="1"/>
      <c r="B15" s="1"/>
      <c r="C15" s="1" t="s">
        <v>210</v>
      </c>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sheetData>
  <sheetProtection algorithmName="SHA-512" hashValue="bUZVuh3h1Q44lblEBAWb/w2pRnEuFrcR11tE5Of4vmbqtqpPgsUZZNS1Ju0R9g0KMLS/h4QhUQUYCGn5Q06APA==" saltValue="oUxn6W/DyZXCWYpLk9Wt3Q==" spinCount="100000" sheet="1" objects="1" scenarios="1"/>
  <mergeCells count="1">
    <mergeCell ref="B3:F4"/>
  </mergeCells>
  <pageMargins left="0.70866141732283461" right="0.70866141732283461" top="0.74803149606299213" bottom="0.74803149606299213" header="0.31496062992125984" footer="0.31496062992125984"/>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dimension ref="A1:G49"/>
  <sheetViews>
    <sheetView showGridLines="0" view="pageLayout" zoomScaleNormal="100" workbookViewId="0"/>
  </sheetViews>
  <sheetFormatPr defaultColWidth="9" defaultRowHeight="15" x14ac:dyDescent="0.25"/>
  <cols>
    <col min="1" max="1" width="5" style="2" customWidth="1"/>
    <col min="2" max="2" width="34.28515625" style="2" customWidth="1"/>
    <col min="3" max="3" width="17.28515625" style="2" customWidth="1"/>
    <col min="4" max="4" width="3.28515625" style="2" customWidth="1"/>
    <col min="5" max="5" width="17.28515625"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2" t="s">
        <v>222</v>
      </c>
      <c r="C3" s="102"/>
      <c r="D3" s="102"/>
      <c r="E3" s="102"/>
      <c r="F3" s="102"/>
      <c r="G3" s="1"/>
    </row>
    <row r="4" spans="1:7" ht="15" customHeight="1" x14ac:dyDescent="0.25">
      <c r="A4" s="1"/>
      <c r="B4" s="102"/>
      <c r="C4" s="102"/>
      <c r="D4" s="102"/>
      <c r="E4" s="102"/>
      <c r="F4" s="10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x14ac:dyDescent="0.25">
      <c r="A9" s="1"/>
      <c r="B9" s="121" t="s">
        <v>88</v>
      </c>
      <c r="C9" s="122"/>
      <c r="D9" s="122"/>
      <c r="E9" s="122"/>
      <c r="F9" s="123"/>
      <c r="G9" s="1"/>
    </row>
    <row r="10" spans="1:7" ht="26.25" x14ac:dyDescent="0.25">
      <c r="A10" s="1"/>
      <c r="B10" s="66" t="s">
        <v>15</v>
      </c>
      <c r="C10" s="66" t="s">
        <v>10</v>
      </c>
      <c r="D10" s="67"/>
      <c r="E10" s="66" t="s">
        <v>29</v>
      </c>
      <c r="F10" s="71"/>
      <c r="G10" s="1"/>
    </row>
    <row r="11" spans="1:7" x14ac:dyDescent="0.25">
      <c r="A11" s="1"/>
      <c r="B11" s="22" t="s">
        <v>256</v>
      </c>
      <c r="C11" s="21">
        <v>0</v>
      </c>
      <c r="D11" s="14" t="s">
        <v>3</v>
      </c>
      <c r="E11" s="9">
        <v>0</v>
      </c>
      <c r="F11" s="14" t="s">
        <v>3</v>
      </c>
      <c r="G11" s="1"/>
    </row>
    <row r="12" spans="1:7" x14ac:dyDescent="0.25">
      <c r="A12" s="1"/>
      <c r="B12" s="68" t="s">
        <v>195</v>
      </c>
      <c r="C12" s="12">
        <f>SUM(C11:C11)</f>
        <v>0</v>
      </c>
      <c r="D12" s="13" t="s">
        <v>3</v>
      </c>
      <c r="E12" s="12">
        <f>SUM(E11:E11)</f>
        <v>0</v>
      </c>
      <c r="F12" s="13" t="s">
        <v>3</v>
      </c>
      <c r="G12" s="1"/>
    </row>
    <row r="13" spans="1:7" x14ac:dyDescent="0.25">
      <c r="A13" s="1"/>
      <c r="B13" s="68" t="s">
        <v>119</v>
      </c>
      <c r="C13" s="12">
        <f>C12*(1+'Fane 13. Nøgletal'!$C$15)^2</f>
        <v>0</v>
      </c>
      <c r="D13" s="13" t="s">
        <v>3</v>
      </c>
      <c r="E13" s="12">
        <f>E12*(1+'Fane 13. Nøgletal'!$C$15)^2</f>
        <v>0</v>
      </c>
      <c r="F13" s="13" t="s">
        <v>3</v>
      </c>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ht="18" customHeight="1"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ILYHA7Pvo9WSG9OBcRuZQbbhCLboQbg1ybgeFm3E6+ig97d8pVguboYZY9TShm5xGxdnKVMmrQZZ81K1FqqmoQ==" saltValue="ndZIbOxeGzvLkbJ1E+s1lA==" spinCount="100000" sheet="1" objects="1" scenarios="1"/>
  <mergeCells count="2">
    <mergeCell ref="B3:F4"/>
    <mergeCell ref="B9:F9"/>
  </mergeCells>
  <pageMargins left="0.70866141732283461" right="0.70866141732283461" top="0.74803149606299213" bottom="0.74803149606299213" header="0.31496062992125984" footer="0.31496062992125984"/>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8"/>
  <dimension ref="A1:G48"/>
  <sheetViews>
    <sheetView showGridLines="0" view="pageLayout" zoomScaleNormal="100" workbookViewId="0"/>
  </sheetViews>
  <sheetFormatPr defaultColWidth="9" defaultRowHeight="15" x14ac:dyDescent="0.25"/>
  <cols>
    <col min="1" max="1" width="5.28515625" style="2" customWidth="1"/>
    <col min="2" max="2" width="41" style="2" bestFit="1" customWidth="1"/>
    <col min="3" max="3" width="13.85546875" style="2" customWidth="1"/>
    <col min="4" max="4" width="3.28515625" style="2" customWidth="1"/>
    <col min="5" max="5" width="13.85546875" style="2" customWidth="1"/>
    <col min="6" max="6" width="3.28515625" style="2" customWidth="1"/>
    <col min="7" max="7" width="5.8554687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223</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21" t="s">
        <v>112</v>
      </c>
      <c r="C8" s="122"/>
      <c r="D8" s="122"/>
      <c r="E8" s="122"/>
      <c r="F8" s="123"/>
      <c r="G8" s="1"/>
    </row>
    <row r="9" spans="1:7" ht="15" customHeight="1" x14ac:dyDescent="0.25">
      <c r="A9" s="1"/>
      <c r="B9" s="70" t="s">
        <v>113</v>
      </c>
      <c r="C9" s="113" t="s">
        <v>10</v>
      </c>
      <c r="D9" s="115"/>
      <c r="E9" s="113" t="s">
        <v>29</v>
      </c>
      <c r="F9" s="115"/>
      <c r="G9" s="1"/>
    </row>
    <row r="10" spans="1:7" x14ac:dyDescent="0.25">
      <c r="A10" s="1"/>
      <c r="B10" s="22" t="s">
        <v>240</v>
      </c>
      <c r="C10" s="9">
        <v>0</v>
      </c>
      <c r="D10" s="14" t="s">
        <v>3</v>
      </c>
      <c r="E10" s="9">
        <v>0</v>
      </c>
      <c r="F10" s="14" t="s">
        <v>3</v>
      </c>
      <c r="G10" s="1"/>
    </row>
    <row r="11" spans="1:7" ht="28.5" customHeight="1" x14ac:dyDescent="0.25">
      <c r="A11" s="1"/>
      <c r="B11" s="20" t="s">
        <v>149</v>
      </c>
      <c r="C11" s="12">
        <f>SUM(C10:C10)</f>
        <v>0</v>
      </c>
      <c r="D11" s="13" t="s">
        <v>3</v>
      </c>
      <c r="E11" s="12">
        <f>SUM(E10:E10)</f>
        <v>0</v>
      </c>
      <c r="F11" s="13" t="s">
        <v>3</v>
      </c>
      <c r="G11" s="1"/>
    </row>
    <row r="12" spans="1:7" ht="27" customHeight="1" x14ac:dyDescent="0.25">
      <c r="A12" s="1"/>
      <c r="B12" s="20" t="s">
        <v>189</v>
      </c>
      <c r="C12" s="12">
        <f>C11*(1+'Fane 13. Nøgletal'!C15)</f>
        <v>0</v>
      </c>
      <c r="D12" s="13" t="s">
        <v>3</v>
      </c>
      <c r="E12" s="12">
        <f>E11*(1+'Fane 13. Nøgletal'!C15)</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OSsfR6VUO08lup5hvU+sI2SkR6X3c1tFx3NrP1Xkz9OLDufD66Xc3ppXAxMrRmLB8PWnl6oofLVsUP0LBr1y3g==" saltValue="XM7YzW/47D5/SFIRu9eM5g==" spinCount="100000" sheet="1" objects="1" scenarios="1"/>
  <mergeCells count="4">
    <mergeCell ref="B3:F4"/>
    <mergeCell ref="B8:F8"/>
    <mergeCell ref="C9:D9"/>
    <mergeCell ref="E9:F9"/>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dimension ref="A1:G49"/>
  <sheetViews>
    <sheetView showGridLines="0" view="pageLayout" zoomScaleNormal="100" workbookViewId="0"/>
  </sheetViews>
  <sheetFormatPr defaultColWidth="9" defaultRowHeight="15" x14ac:dyDescent="0.25"/>
  <cols>
    <col min="1" max="1" width="5" style="2" customWidth="1"/>
    <col min="2" max="2" width="36.28515625" style="2" customWidth="1"/>
    <col min="3" max="3" width="17" style="2" customWidth="1"/>
    <col min="4" max="4" width="3.28515625" style="2" customWidth="1"/>
    <col min="5" max="5" width="17" style="2" customWidth="1"/>
    <col min="6" max="6" width="3.28515625" style="2" customWidth="1"/>
    <col min="7" max="7" width="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224</v>
      </c>
      <c r="C3" s="124"/>
      <c r="D3" s="124"/>
      <c r="E3" s="124"/>
      <c r="F3" s="124"/>
      <c r="G3" s="1"/>
    </row>
    <row r="4" spans="1:7" ht="25.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
      <c r="C8" s="1"/>
      <c r="D8" s="1"/>
      <c r="E8" s="1"/>
      <c r="F8" s="1"/>
      <c r="G8" s="1"/>
    </row>
    <row r="9" spans="1:7" ht="15" customHeight="1" x14ac:dyDescent="0.25">
      <c r="A9" s="1"/>
      <c r="B9" s="1"/>
      <c r="C9" s="1"/>
      <c r="D9" s="1"/>
      <c r="E9" s="1"/>
      <c r="F9" s="1"/>
      <c r="G9" s="1"/>
    </row>
    <row r="10" spans="1:7" x14ac:dyDescent="0.25">
      <c r="A10" s="1"/>
      <c r="B10" s="121" t="s">
        <v>85</v>
      </c>
      <c r="C10" s="122"/>
      <c r="D10" s="122"/>
      <c r="E10" s="122"/>
      <c r="F10" s="123"/>
      <c r="G10" s="1"/>
    </row>
    <row r="11" spans="1:7" ht="26.25" customHeight="1" x14ac:dyDescent="0.25">
      <c r="A11" s="1"/>
      <c r="B11" s="70" t="s">
        <v>16</v>
      </c>
      <c r="C11" s="70" t="s">
        <v>10</v>
      </c>
      <c r="D11" s="71"/>
      <c r="E11" s="113" t="s">
        <v>29</v>
      </c>
      <c r="F11" s="115"/>
      <c r="G11" s="1"/>
    </row>
    <row r="12" spans="1:7" x14ac:dyDescent="0.25">
      <c r="A12" s="1"/>
      <c r="B12" s="22" t="s">
        <v>241</v>
      </c>
      <c r="C12" s="9">
        <v>0</v>
      </c>
      <c r="D12" s="14" t="s">
        <v>3</v>
      </c>
      <c r="E12" s="9">
        <v>0</v>
      </c>
      <c r="F12" s="14" t="s">
        <v>3</v>
      </c>
      <c r="G12" s="1"/>
    </row>
    <row r="13" spans="1:7" x14ac:dyDescent="0.25">
      <c r="A13" s="1"/>
      <c r="B13" s="68" t="s">
        <v>196</v>
      </c>
      <c r="C13" s="12">
        <f>SUM(C12:C12)</f>
        <v>0</v>
      </c>
      <c r="D13" s="13" t="s">
        <v>3</v>
      </c>
      <c r="E13" s="12">
        <f>SUM(E12:E12)</f>
        <v>0</v>
      </c>
      <c r="F13" s="13" t="s">
        <v>3</v>
      </c>
      <c r="G13" s="1"/>
    </row>
    <row r="14" spans="1:7" x14ac:dyDescent="0.25">
      <c r="A14" s="1"/>
      <c r="B14" s="68" t="s">
        <v>83</v>
      </c>
      <c r="C14" s="12">
        <f>C13*(1+'Fane 13. Nøgletal'!C15)</f>
        <v>0</v>
      </c>
      <c r="D14" s="13" t="s">
        <v>3</v>
      </c>
      <c r="E14" s="12">
        <f>E13*(1+'Fane 13. Nøgletal'!C15)</f>
        <v>0</v>
      </c>
      <c r="F14" s="13" t="s">
        <v>3</v>
      </c>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jNKWze/B2h2CjAe7VfsrnbeKUmmHl4BkXB4y6nNUtoq+zo4i7C6DPcou6BDOehNNlT/+TT17GW9I3RMWFCQZOQ==" saltValue="D88Bv5HcN9UckTisW1lXVQ==" spinCount="100000" sheet="1" objects="1" scenarios="1"/>
  <mergeCells count="3">
    <mergeCell ref="B3:F4"/>
    <mergeCell ref="B10:F10"/>
    <mergeCell ref="E11:F11"/>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dimension ref="A1:D49"/>
  <sheetViews>
    <sheetView showGridLines="0" view="pageLayout" zoomScaleNormal="100" workbookViewId="0"/>
  </sheetViews>
  <sheetFormatPr defaultColWidth="9" defaultRowHeight="15" x14ac:dyDescent="0.25"/>
  <cols>
    <col min="1" max="1" width="9" style="2" customWidth="1"/>
    <col min="2" max="2" width="56.28515625" style="2" customWidth="1"/>
    <col min="3" max="3" width="6.7109375" style="49" customWidth="1"/>
    <col min="4" max="4" width="9" style="2" customWidth="1"/>
    <col min="5" max="16384" width="9" style="2"/>
  </cols>
  <sheetData>
    <row r="1" spans="1:4" x14ac:dyDescent="0.25">
      <c r="A1" s="1"/>
      <c r="B1" s="1"/>
      <c r="C1" s="44"/>
      <c r="D1" s="1"/>
    </row>
    <row r="2" spans="1:4" x14ac:dyDescent="0.25">
      <c r="A2" s="1"/>
      <c r="B2" s="1"/>
      <c r="C2" s="44"/>
      <c r="D2" s="1"/>
    </row>
    <row r="3" spans="1:4" ht="15" customHeight="1" x14ac:dyDescent="0.25">
      <c r="A3" s="1"/>
      <c r="B3" s="124" t="s">
        <v>225</v>
      </c>
      <c r="C3" s="124"/>
      <c r="D3" s="1"/>
    </row>
    <row r="4" spans="1:4" ht="25.5" customHeight="1" x14ac:dyDescent="0.25">
      <c r="A4" s="1"/>
      <c r="B4" s="124"/>
      <c r="C4" s="124"/>
      <c r="D4" s="1"/>
    </row>
    <row r="5" spans="1:4" x14ac:dyDescent="0.25">
      <c r="A5" s="1"/>
      <c r="B5" s="1"/>
      <c r="C5" s="44"/>
      <c r="D5" s="1"/>
    </row>
    <row r="6" spans="1:4" x14ac:dyDescent="0.25">
      <c r="A6" s="1"/>
      <c r="B6" s="1"/>
      <c r="C6" s="44"/>
      <c r="D6" s="1"/>
    </row>
    <row r="7" spans="1:4" x14ac:dyDescent="0.25">
      <c r="A7" s="1"/>
      <c r="B7" s="1"/>
      <c r="C7" s="44"/>
      <c r="D7" s="1"/>
    </row>
    <row r="8" spans="1:4" x14ac:dyDescent="0.25">
      <c r="A8" s="1"/>
      <c r="B8" s="68" t="s">
        <v>13</v>
      </c>
      <c r="C8" s="45"/>
      <c r="D8" s="1"/>
    </row>
    <row r="9" spans="1:4" x14ac:dyDescent="0.25">
      <c r="A9" s="1"/>
      <c r="B9" s="80" t="s">
        <v>101</v>
      </c>
      <c r="C9" s="46">
        <v>1.2699999999999999E-2</v>
      </c>
      <c r="D9" s="1"/>
    </row>
    <row r="10" spans="1:4" x14ac:dyDescent="0.25">
      <c r="A10" s="1"/>
      <c r="B10" s="80" t="s">
        <v>21</v>
      </c>
      <c r="C10" s="46">
        <v>1.7500000000000002E-2</v>
      </c>
      <c r="D10" s="1"/>
    </row>
    <row r="11" spans="1:4" x14ac:dyDescent="0.25">
      <c r="A11" s="1"/>
      <c r="B11" s="80" t="s">
        <v>102</v>
      </c>
      <c r="C11" s="46">
        <v>1.6899999999999998E-2</v>
      </c>
      <c r="D11" s="1"/>
    </row>
    <row r="12" spans="1:4" x14ac:dyDescent="0.25">
      <c r="A12" s="1"/>
      <c r="B12" s="24" t="s">
        <v>37</v>
      </c>
      <c r="C12" s="47">
        <v>1.9699999999999999E-2</v>
      </c>
      <c r="D12" s="1"/>
    </row>
    <row r="13" spans="1:4" x14ac:dyDescent="0.25">
      <c r="A13" s="1"/>
      <c r="B13" s="24" t="s">
        <v>118</v>
      </c>
      <c r="C13" s="47">
        <v>1.2200000000000001E-2</v>
      </c>
      <c r="D13" s="1"/>
    </row>
    <row r="14" spans="1:4" x14ac:dyDescent="0.25">
      <c r="A14" s="1"/>
      <c r="B14" s="24" t="s">
        <v>150</v>
      </c>
      <c r="C14" s="48">
        <v>3.3E-3</v>
      </c>
      <c r="D14" s="1"/>
    </row>
    <row r="15" spans="1:4" x14ac:dyDescent="0.25">
      <c r="A15" s="1"/>
      <c r="B15" s="24" t="s">
        <v>190</v>
      </c>
      <c r="C15" s="48">
        <v>3.56E-2</v>
      </c>
      <c r="D15" s="1"/>
    </row>
    <row r="16" spans="1:4" x14ac:dyDescent="0.25">
      <c r="A16" s="1"/>
      <c r="B16" s="121"/>
      <c r="C16" s="123"/>
      <c r="D16" s="1"/>
    </row>
    <row r="17" spans="1:4" x14ac:dyDescent="0.25">
      <c r="A17" s="1"/>
      <c r="B17" s="1"/>
      <c r="C17" s="44"/>
      <c r="D17" s="1"/>
    </row>
    <row r="18" spans="1:4" x14ac:dyDescent="0.25">
      <c r="A18" s="1"/>
      <c r="B18" s="1"/>
      <c r="C18" s="44"/>
      <c r="D18" s="1"/>
    </row>
    <row r="19" spans="1:4" x14ac:dyDescent="0.25">
      <c r="A19" s="1"/>
      <c r="B19" s="68" t="s">
        <v>89</v>
      </c>
      <c r="C19" s="45"/>
      <c r="D19" s="1"/>
    </row>
    <row r="20" spans="1:4" x14ac:dyDescent="0.25">
      <c r="A20" s="1"/>
      <c r="B20" s="80" t="s">
        <v>103</v>
      </c>
      <c r="C20" s="48">
        <v>9.1000000000000004E-3</v>
      </c>
      <c r="D20" s="1"/>
    </row>
    <row r="21" spans="1:4" x14ac:dyDescent="0.25">
      <c r="A21" s="1"/>
      <c r="B21" s="80" t="s">
        <v>104</v>
      </c>
      <c r="C21" s="48">
        <v>1.77E-2</v>
      </c>
      <c r="D21" s="1"/>
    </row>
    <row r="22" spans="1:4" x14ac:dyDescent="0.25">
      <c r="A22" s="1"/>
      <c r="B22" s="80" t="s">
        <v>105</v>
      </c>
      <c r="C22" s="48">
        <v>8.6999999999999994E-3</v>
      </c>
      <c r="D22" s="1"/>
    </row>
    <row r="23" spans="1:4" x14ac:dyDescent="0.25">
      <c r="A23" s="1"/>
      <c r="B23" s="80" t="s">
        <v>106</v>
      </c>
      <c r="C23" s="48">
        <v>2.8399999999999998E-2</v>
      </c>
      <c r="D23" s="1"/>
    </row>
    <row r="24" spans="1:4" x14ac:dyDescent="0.25">
      <c r="A24" s="1"/>
      <c r="B24" s="80" t="s">
        <v>120</v>
      </c>
      <c r="C24" s="48">
        <v>2.75E-2</v>
      </c>
      <c r="D24" s="1"/>
    </row>
    <row r="25" spans="1:4" x14ac:dyDescent="0.25">
      <c r="A25" s="1"/>
      <c r="B25" s="80" t="s">
        <v>151</v>
      </c>
      <c r="C25" s="48">
        <v>1.4800000000000001E-2</v>
      </c>
      <c r="D25" s="1"/>
    </row>
    <row r="26" spans="1:4" x14ac:dyDescent="0.25">
      <c r="A26" s="1"/>
      <c r="B26" s="24" t="s">
        <v>191</v>
      </c>
      <c r="C26" s="48">
        <v>0</v>
      </c>
      <c r="D26" s="1"/>
    </row>
    <row r="27" spans="1:4" x14ac:dyDescent="0.25">
      <c r="A27" s="1"/>
      <c r="B27" s="68"/>
      <c r="C27" s="45"/>
      <c r="D27" s="1"/>
    </row>
    <row r="28" spans="1:4" x14ac:dyDescent="0.25">
      <c r="A28" s="1"/>
      <c r="B28" s="1"/>
      <c r="C28" s="44"/>
      <c r="D28" s="1"/>
    </row>
    <row r="29" spans="1:4" x14ac:dyDescent="0.25">
      <c r="A29" s="1"/>
      <c r="B29" s="1"/>
      <c r="C29" s="44"/>
      <c r="D29" s="1"/>
    </row>
    <row r="30" spans="1:4" x14ac:dyDescent="0.25">
      <c r="A30" s="1"/>
      <c r="B30" s="68" t="s">
        <v>90</v>
      </c>
      <c r="C30" s="45"/>
      <c r="D30" s="1"/>
    </row>
    <row r="31" spans="1:4" x14ac:dyDescent="0.25">
      <c r="A31" s="1"/>
      <c r="B31" s="80" t="s">
        <v>107</v>
      </c>
      <c r="C31" s="46">
        <v>0.02</v>
      </c>
      <c r="D31" s="1"/>
    </row>
    <row r="32" spans="1:4" x14ac:dyDescent="0.25">
      <c r="A32" s="1"/>
      <c r="B32" s="68"/>
      <c r="C32" s="45"/>
      <c r="D32" s="1"/>
    </row>
    <row r="33" spans="1:4" x14ac:dyDescent="0.25">
      <c r="A33" s="1"/>
      <c r="B33" s="1"/>
      <c r="C33" s="44"/>
      <c r="D33" s="1"/>
    </row>
    <row r="34" spans="1:4" x14ac:dyDescent="0.25">
      <c r="A34" s="1"/>
      <c r="B34" s="1"/>
      <c r="C34" s="44"/>
      <c r="D34" s="1"/>
    </row>
    <row r="35" spans="1:4" x14ac:dyDescent="0.25">
      <c r="A35" s="1"/>
      <c r="B35" s="1"/>
      <c r="C35" s="44"/>
      <c r="D35" s="1"/>
    </row>
    <row r="36" spans="1:4" x14ac:dyDescent="0.25">
      <c r="A36" s="1"/>
      <c r="B36" s="1"/>
      <c r="C36" s="44"/>
      <c r="D36" s="1"/>
    </row>
    <row r="37" spans="1:4" x14ac:dyDescent="0.25">
      <c r="A37" s="1"/>
      <c r="B37" s="1"/>
      <c r="C37" s="44"/>
      <c r="D37" s="1"/>
    </row>
    <row r="38" spans="1:4" x14ac:dyDescent="0.25">
      <c r="A38" s="1"/>
      <c r="B38" s="1"/>
      <c r="C38" s="44"/>
      <c r="D38" s="1"/>
    </row>
    <row r="39" spans="1:4" x14ac:dyDescent="0.25">
      <c r="A39" s="1"/>
      <c r="B39" s="1"/>
      <c r="C39" s="44"/>
      <c r="D39" s="1"/>
    </row>
    <row r="40" spans="1:4" x14ac:dyDescent="0.25">
      <c r="A40" s="1"/>
      <c r="B40" s="1"/>
      <c r="C40" s="44"/>
      <c r="D40" s="1"/>
    </row>
    <row r="41" spans="1:4" x14ac:dyDescent="0.25">
      <c r="A41" s="1"/>
      <c r="B41" s="1"/>
      <c r="C41" s="44"/>
      <c r="D41" s="1"/>
    </row>
    <row r="42" spans="1:4" x14ac:dyDescent="0.25">
      <c r="A42" s="1"/>
      <c r="B42" s="1"/>
      <c r="C42" s="44"/>
      <c r="D42" s="1"/>
    </row>
    <row r="43" spans="1:4" x14ac:dyDescent="0.25">
      <c r="A43" s="1"/>
      <c r="B43" s="1"/>
      <c r="C43" s="44"/>
      <c r="D43" s="1"/>
    </row>
    <row r="44" spans="1:4" x14ac:dyDescent="0.25">
      <c r="A44" s="1"/>
      <c r="B44" s="1"/>
      <c r="C44" s="44"/>
      <c r="D44" s="1"/>
    </row>
    <row r="45" spans="1:4" x14ac:dyDescent="0.25">
      <c r="A45" s="1"/>
      <c r="B45" s="1"/>
      <c r="C45" s="44"/>
      <c r="D45" s="1"/>
    </row>
    <row r="46" spans="1:4" x14ac:dyDescent="0.25">
      <c r="A46" s="1"/>
      <c r="B46" s="1"/>
      <c r="C46" s="44"/>
      <c r="D46" s="1"/>
    </row>
    <row r="47" spans="1:4" x14ac:dyDescent="0.25">
      <c r="A47" s="1"/>
      <c r="B47" s="1"/>
      <c r="C47" s="44"/>
      <c r="D47" s="1"/>
    </row>
    <row r="48" spans="1:4" x14ac:dyDescent="0.25">
      <c r="A48" s="1"/>
      <c r="B48" s="1"/>
      <c r="C48" s="44"/>
      <c r="D48" s="1"/>
    </row>
    <row r="49" spans="1:4" x14ac:dyDescent="0.25">
      <c r="A49" s="1"/>
      <c r="B49" s="1"/>
      <c r="C49" s="44"/>
      <c r="D49" s="1"/>
    </row>
  </sheetData>
  <sheetProtection algorithmName="SHA-512" hashValue="rzDvH4BgRsvBSYgYnXLE2nK1asydyK7FwhlluqgT7rD+cglTDW3gVlyXFy9pzrRHrYhCEhh870qyALjoNnz1+A==" saltValue="PQeLNUwYB45r2Hg1fmGjJQ==" spinCount="100000" sheet="1" objects="1" scenarios="1"/>
  <mergeCells count="2">
    <mergeCell ref="B3:C4"/>
    <mergeCell ref="B16:C16"/>
  </mergeCells>
  <pageMargins left="0.8125"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dimension ref="A1:E45"/>
  <sheetViews>
    <sheetView showGridLines="0" view="pageLayout" zoomScaleNormal="100" workbookViewId="0"/>
  </sheetViews>
  <sheetFormatPr defaultColWidth="9" defaultRowHeight="15" x14ac:dyDescent="0.25"/>
  <cols>
    <col min="1" max="1" width="6.5703125" style="2" customWidth="1"/>
    <col min="2" max="2" width="56.7109375" style="2" customWidth="1"/>
    <col min="3" max="3" width="12.7109375" style="2" bestFit="1" customWidth="1"/>
    <col min="4" max="4" width="3" style="2" customWidth="1"/>
    <col min="5" max="5" width="6.2851562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165</v>
      </c>
      <c r="C3" s="102"/>
      <c r="D3" s="102"/>
      <c r="E3" s="1"/>
    </row>
    <row r="4" spans="1:5" ht="15" customHeight="1" x14ac:dyDescent="0.25">
      <c r="A4" s="1"/>
      <c r="B4" s="102"/>
      <c r="C4" s="102"/>
      <c r="D4" s="102"/>
      <c r="E4" s="1"/>
    </row>
    <row r="5" spans="1:5" x14ac:dyDescent="0.25">
      <c r="A5" s="1"/>
      <c r="B5" s="1"/>
      <c r="C5" s="1"/>
      <c r="D5" s="1"/>
      <c r="E5" s="1"/>
    </row>
    <row r="6" spans="1:5" x14ac:dyDescent="0.25">
      <c r="A6" s="1"/>
      <c r="B6" s="1"/>
      <c r="C6" s="1"/>
      <c r="D6" s="1"/>
      <c r="E6" s="1"/>
    </row>
    <row r="7" spans="1:5" x14ac:dyDescent="0.25">
      <c r="A7" s="1"/>
      <c r="B7" s="68" t="s">
        <v>12</v>
      </c>
      <c r="C7" s="69"/>
      <c r="D7" s="19"/>
      <c r="E7" s="1"/>
    </row>
    <row r="8" spans="1:5" x14ac:dyDescent="0.25">
      <c r="A8" s="1"/>
      <c r="B8" s="76" t="s">
        <v>116</v>
      </c>
      <c r="C8" s="7">
        <f>'Fane 3. Omkostninger i ØR2022'!E20</f>
        <v>25323016.438568871</v>
      </c>
      <c r="D8" s="8" t="s">
        <v>3</v>
      </c>
      <c r="E8" s="1"/>
    </row>
    <row r="9" spans="1:5" ht="17.25" customHeight="1" x14ac:dyDescent="0.25">
      <c r="A9" s="1"/>
      <c r="B9" s="23" t="s">
        <v>35</v>
      </c>
      <c r="C9" s="7">
        <f>'Fane 10.1. Varige tillæg'!C14</f>
        <v>831327.9</v>
      </c>
      <c r="D9" s="8" t="s">
        <v>3</v>
      </c>
      <c r="E9" s="1"/>
    </row>
    <row r="10" spans="1:5" ht="17.25" customHeight="1" x14ac:dyDescent="0.25">
      <c r="A10" s="1"/>
      <c r="B10" s="23" t="s">
        <v>36</v>
      </c>
      <c r="C10" s="9">
        <f>'Fane 10.1. Varige tillæg'!E14</f>
        <v>33380.4948</v>
      </c>
      <c r="D10" s="8" t="s">
        <v>3</v>
      </c>
      <c r="E10" s="1"/>
    </row>
    <row r="11" spans="1:5" ht="17.25" customHeight="1" x14ac:dyDescent="0.25">
      <c r="A11" s="1"/>
      <c r="B11" s="23" t="s">
        <v>26</v>
      </c>
      <c r="C11" s="9">
        <f>-'Fane 12. Bortfald'!C14</f>
        <v>0</v>
      </c>
      <c r="D11" s="8" t="s">
        <v>3</v>
      </c>
      <c r="E11" s="1"/>
    </row>
    <row r="12" spans="1:5" ht="17.25" customHeight="1" x14ac:dyDescent="0.25">
      <c r="A12" s="1"/>
      <c r="B12" s="23" t="s">
        <v>25</v>
      </c>
      <c r="C12" s="9">
        <f>-'Fane 12. Bortfald'!E14</f>
        <v>0</v>
      </c>
      <c r="D12" s="8" t="s">
        <v>3</v>
      </c>
      <c r="E12" s="1"/>
    </row>
    <row r="13" spans="1:5" ht="17.25" customHeight="1" x14ac:dyDescent="0.25">
      <c r="A13" s="1"/>
      <c r="B13" s="23" t="s">
        <v>114</v>
      </c>
      <c r="C13" s="9">
        <f>'Fane 11. Tilknyttet virksomhed'!C12</f>
        <v>0</v>
      </c>
      <c r="D13" s="8" t="s">
        <v>3</v>
      </c>
      <c r="E13" s="1"/>
    </row>
    <row r="14" spans="1:5" ht="17.25" customHeight="1" x14ac:dyDescent="0.25">
      <c r="A14" s="1"/>
      <c r="B14" s="23" t="s">
        <v>115</v>
      </c>
      <c r="C14" s="9">
        <f>'Fane 11. Tilknyttet virksomhed'!E12</f>
        <v>0</v>
      </c>
      <c r="D14" s="8" t="s">
        <v>3</v>
      </c>
      <c r="E14" s="1"/>
    </row>
    <row r="15" spans="1:5" ht="17.25" customHeight="1" x14ac:dyDescent="0.25">
      <c r="A15" s="1"/>
      <c r="B15" s="23" t="s">
        <v>17</v>
      </c>
      <c r="C15" s="9">
        <f>SUM(C8:C14)*'Fane 13. Nøgletal'!C15</f>
        <v>932283.00406793179</v>
      </c>
      <c r="D15" s="8" t="s">
        <v>3</v>
      </c>
      <c r="E15" s="1"/>
    </row>
    <row r="16" spans="1:5" ht="17.25" customHeight="1" x14ac:dyDescent="0.25">
      <c r="A16" s="1"/>
      <c r="B16" s="23" t="s">
        <v>9</v>
      </c>
      <c r="C16" s="9">
        <f>-SUM(C8,C9:C15)*'Fane 5. Individuelt eff. krav'!G9</f>
        <v>0</v>
      </c>
      <c r="D16" s="8" t="s">
        <v>3</v>
      </c>
      <c r="E16" s="1"/>
    </row>
    <row r="17" spans="1:5" ht="17.25" customHeight="1" x14ac:dyDescent="0.25">
      <c r="A17" s="1"/>
      <c r="B17" s="23" t="s">
        <v>23</v>
      </c>
      <c r="C17" s="9">
        <f>-'Fane 4.1. Gen. krav - drift'!G44</f>
        <v>-284804.24510498228</v>
      </c>
      <c r="D17" s="8" t="s">
        <v>3</v>
      </c>
      <c r="E17" s="1"/>
    </row>
    <row r="18" spans="1:5" ht="17.25" customHeight="1" x14ac:dyDescent="0.25">
      <c r="A18" s="1"/>
      <c r="B18" s="23" t="s">
        <v>24</v>
      </c>
      <c r="C18" s="9">
        <f>-'Fane 4.2. Gen. krav - anlæg'!G44</f>
        <v>0</v>
      </c>
      <c r="D18" s="8" t="s">
        <v>3</v>
      </c>
      <c r="E18" s="1"/>
    </row>
    <row r="19" spans="1:5" ht="17.25" customHeight="1" x14ac:dyDescent="0.25">
      <c r="A19" s="1"/>
      <c r="B19" s="51" t="s">
        <v>19</v>
      </c>
      <c r="C19" s="10">
        <f>SUM(C8,C9:C18)</f>
        <v>26835203.592331819</v>
      </c>
      <c r="D19" s="11" t="s">
        <v>3</v>
      </c>
      <c r="E19" s="1"/>
    </row>
    <row r="20" spans="1:5" ht="15" customHeight="1" x14ac:dyDescent="0.25">
      <c r="A20" s="1"/>
      <c r="B20" s="68" t="s">
        <v>11</v>
      </c>
      <c r="C20" s="69"/>
      <c r="D20" s="19"/>
      <c r="E20" s="1"/>
    </row>
    <row r="21" spans="1:5" ht="15" customHeight="1" x14ac:dyDescent="0.25">
      <c r="A21" s="1"/>
      <c r="B21" s="70" t="s">
        <v>11</v>
      </c>
      <c r="C21" s="10">
        <f>'Fane 6. Ikke-påvirkelige omk.'!C15</f>
        <v>17284041.626461923</v>
      </c>
      <c r="D21" s="11" t="s">
        <v>3</v>
      </c>
      <c r="E21" s="1"/>
    </row>
    <row r="22" spans="1:5" ht="15" customHeight="1" x14ac:dyDescent="0.25">
      <c r="A22" s="1"/>
      <c r="B22" s="68" t="s">
        <v>80</v>
      </c>
      <c r="C22" s="69"/>
      <c r="D22" s="19"/>
      <c r="E22" s="1"/>
    </row>
    <row r="23" spans="1:5" ht="15" customHeight="1" x14ac:dyDescent="0.25">
      <c r="A23" s="1"/>
      <c r="B23" s="23" t="s">
        <v>76</v>
      </c>
      <c r="C23" s="9">
        <f>'Fane 10.2. Engangstillæg'!C13</f>
        <v>0</v>
      </c>
      <c r="D23" s="8" t="s">
        <v>3</v>
      </c>
      <c r="E23" s="1"/>
    </row>
    <row r="24" spans="1:5" ht="15" customHeight="1" x14ac:dyDescent="0.25">
      <c r="A24" s="1"/>
      <c r="B24" s="23" t="s">
        <v>77</v>
      </c>
      <c r="C24" s="9">
        <f>'Fane 10.2. Engangstillæg'!E13</f>
        <v>0</v>
      </c>
      <c r="D24" s="8" t="s">
        <v>3</v>
      </c>
      <c r="E24" s="1"/>
    </row>
    <row r="25" spans="1:5" ht="15" customHeight="1" x14ac:dyDescent="0.25">
      <c r="A25" s="1"/>
      <c r="B25" s="23" t="s">
        <v>206</v>
      </c>
      <c r="C25" s="9">
        <f>-C23*('Fane 13. Nøgletal'!C31+'Fane 5. Individuelt eff. krav'!G9)</f>
        <v>0</v>
      </c>
      <c r="D25" s="8" t="s">
        <v>3</v>
      </c>
      <c r="E25" s="1"/>
    </row>
    <row r="26" spans="1:5" ht="15" customHeight="1" x14ac:dyDescent="0.25">
      <c r="A26" s="1"/>
      <c r="B26" s="23" t="s">
        <v>207</v>
      </c>
      <c r="C26" s="9">
        <f>-C24*('Fane 13. Nøgletal'!C26+'Fane 5. Individuelt eff. krav'!G9)</f>
        <v>0</v>
      </c>
      <c r="D26" s="8" t="s">
        <v>3</v>
      </c>
      <c r="E26" s="1"/>
    </row>
    <row r="27" spans="1:5" x14ac:dyDescent="0.25">
      <c r="A27" s="1"/>
      <c r="B27" s="51" t="s">
        <v>81</v>
      </c>
      <c r="C27" s="50">
        <f>SUM(C23:C26)</f>
        <v>0</v>
      </c>
      <c r="D27" s="11" t="s">
        <v>3</v>
      </c>
      <c r="E27" s="1"/>
    </row>
    <row r="28" spans="1:5" ht="15" customHeight="1" x14ac:dyDescent="0.25">
      <c r="A28" s="1"/>
      <c r="B28" s="25" t="s">
        <v>128</v>
      </c>
      <c r="C28" s="69"/>
      <c r="D28" s="19"/>
      <c r="E28" s="1"/>
    </row>
    <row r="29" spans="1:5" x14ac:dyDescent="0.25">
      <c r="A29" s="1"/>
      <c r="B29" s="81" t="s">
        <v>129</v>
      </c>
      <c r="C29" s="10">
        <f>'Fane 7. Kontrol af ØR2021'!E31</f>
        <v>-1094750.5</v>
      </c>
      <c r="D29" s="11" t="s">
        <v>3</v>
      </c>
      <c r="E29" s="1"/>
    </row>
    <row r="30" spans="1:5" x14ac:dyDescent="0.25">
      <c r="A30" s="1"/>
      <c r="B30" s="25" t="s">
        <v>153</v>
      </c>
      <c r="C30" s="69"/>
      <c r="D30" s="19"/>
      <c r="E30" s="1"/>
    </row>
    <row r="31" spans="1:5" x14ac:dyDescent="0.25">
      <c r="A31" s="1"/>
      <c r="B31" s="81" t="s">
        <v>154</v>
      </c>
      <c r="C31" s="10">
        <f>'Fane 8. Skattesagen'!G12</f>
        <v>0</v>
      </c>
      <c r="D31" s="11" t="s">
        <v>3</v>
      </c>
      <c r="E31" s="1"/>
    </row>
    <row r="32" spans="1:5" x14ac:dyDescent="0.25">
      <c r="A32" s="1"/>
      <c r="B32" s="68" t="s">
        <v>84</v>
      </c>
      <c r="C32" s="36">
        <f>SUM(C19,C21,C27,C29,C31)</f>
        <v>43024494.718793742</v>
      </c>
      <c r="D32" s="19" t="s">
        <v>3</v>
      </c>
      <c r="E32" s="1"/>
    </row>
    <row r="33" spans="1:5" x14ac:dyDescent="0.25">
      <c r="A33" s="1"/>
      <c r="B33" s="1" t="s">
        <v>210</v>
      </c>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sheetData>
  <sheetProtection algorithmName="SHA-512" hashValue="vkNYq3zEFUcx3RM43t4WURgbAzuXHgWPmzLiMUTKFJSc63eueSscQhyER01slpjSTWiSvDrTv1EeO2W3AJOgQg==" saltValue="yyTn1X3f6QMuqnADYApa7Q==" spinCount="100000" sheet="1" objects="1" scenarios="1"/>
  <mergeCells count="1">
    <mergeCell ref="B3:D4"/>
  </mergeCells>
  <pageMargins left="0.70866141732283472" right="0.7086614173228347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dimension ref="A1:E50"/>
  <sheetViews>
    <sheetView showGridLines="0" view="pageLayout" zoomScaleNormal="100" workbookViewId="0"/>
  </sheetViews>
  <sheetFormatPr defaultColWidth="9" defaultRowHeight="15" x14ac:dyDescent="0.25"/>
  <cols>
    <col min="1" max="1" width="5" style="2" customWidth="1"/>
    <col min="2" max="2" width="62.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166</v>
      </c>
      <c r="C3" s="102"/>
      <c r="D3" s="102"/>
      <c r="E3" s="1"/>
    </row>
    <row r="4" spans="1:5" ht="15" customHeight="1" x14ac:dyDescent="0.25">
      <c r="A4" s="1"/>
      <c r="B4" s="102"/>
      <c r="C4" s="102"/>
      <c r="D4" s="102"/>
      <c r="E4" s="1"/>
    </row>
    <row r="5" spans="1:5" x14ac:dyDescent="0.25">
      <c r="A5" s="1"/>
      <c r="B5" s="103"/>
      <c r="C5" s="103"/>
      <c r="D5" s="103"/>
      <c r="E5" s="1"/>
    </row>
    <row r="6" spans="1:5" x14ac:dyDescent="0.25">
      <c r="A6" s="1"/>
      <c r="B6" s="1"/>
      <c r="C6" s="1"/>
      <c r="D6" s="1"/>
      <c r="E6" s="1"/>
    </row>
    <row r="7" spans="1:5" x14ac:dyDescent="0.25">
      <c r="A7" s="1"/>
      <c r="B7" s="68" t="s">
        <v>12</v>
      </c>
      <c r="C7" s="69"/>
      <c r="D7" s="19"/>
      <c r="E7" s="1"/>
    </row>
    <row r="8" spans="1:5" ht="15" customHeight="1" x14ac:dyDescent="0.25">
      <c r="A8" s="1"/>
      <c r="B8" s="76" t="s">
        <v>117</v>
      </c>
      <c r="C8" s="7">
        <f>'Fane 2.1. Økonomisk ramme 2023'!C19</f>
        <v>26835203.592331819</v>
      </c>
      <c r="D8" s="8" t="s">
        <v>3</v>
      </c>
      <c r="E8" s="1"/>
    </row>
    <row r="9" spans="1:5" ht="15" customHeight="1" x14ac:dyDescent="0.25">
      <c r="A9" s="1"/>
      <c r="B9" s="65" t="s">
        <v>17</v>
      </c>
      <c r="C9" s="9">
        <f>SUM(C8:C8)*'Fane 13. Nøgletal'!C15</f>
        <v>955333.24788701278</v>
      </c>
      <c r="D9" s="8" t="s">
        <v>3</v>
      </c>
      <c r="E9" s="1"/>
    </row>
    <row r="10" spans="1:5" ht="15" customHeight="1" x14ac:dyDescent="0.25">
      <c r="A10" s="1"/>
      <c r="B10" s="65" t="s">
        <v>9</v>
      </c>
      <c r="C10" s="9">
        <f>-SUM(C8:C9)*'Fane 5. Individuelt eff. krav'!G9</f>
        <v>0</v>
      </c>
      <c r="D10" s="8" t="s">
        <v>3</v>
      </c>
      <c r="E10" s="1"/>
    </row>
    <row r="11" spans="1:5" ht="15" customHeight="1" x14ac:dyDescent="0.25">
      <c r="A11" s="1"/>
      <c r="B11" s="65" t="s">
        <v>23</v>
      </c>
      <c r="C11" s="9">
        <f>-'Fane 4.1. Gen. krav - drift'!G49</f>
        <v>-289044.41070610529</v>
      </c>
      <c r="D11" s="8" t="s">
        <v>3</v>
      </c>
      <c r="E11" s="1"/>
    </row>
    <row r="12" spans="1:5" ht="15" customHeight="1" x14ac:dyDescent="0.25">
      <c r="A12" s="1"/>
      <c r="B12" s="65" t="s">
        <v>24</v>
      </c>
      <c r="C12" s="9">
        <f>-'Fane 4.2. Gen. krav - anlæg'!G49</f>
        <v>0</v>
      </c>
      <c r="D12" s="8" t="s">
        <v>3</v>
      </c>
      <c r="E12" s="1"/>
    </row>
    <row r="13" spans="1:5" ht="15" customHeight="1" x14ac:dyDescent="0.25">
      <c r="A13" s="1"/>
      <c r="B13" s="33" t="s">
        <v>19</v>
      </c>
      <c r="C13" s="10">
        <f>SUM(C8:C12)</f>
        <v>27501492.429512724</v>
      </c>
      <c r="D13" s="11" t="s">
        <v>3</v>
      </c>
      <c r="E13" s="1"/>
    </row>
    <row r="14" spans="1:5" x14ac:dyDescent="0.25">
      <c r="A14" s="1"/>
      <c r="B14" s="68" t="s">
        <v>11</v>
      </c>
      <c r="C14" s="69"/>
      <c r="D14" s="19"/>
      <c r="E14" s="1"/>
    </row>
    <row r="15" spans="1:5" ht="15" customHeight="1" x14ac:dyDescent="0.25">
      <c r="A15" s="1"/>
      <c r="B15" s="70" t="s">
        <v>11</v>
      </c>
      <c r="C15" s="10">
        <f>'Fane 6. Ikke-påvirkelige omk.'!C15*(1+'Fane 13. Nøgletal'!C15)</f>
        <v>17899353.50836397</v>
      </c>
      <c r="D15" s="11" t="s">
        <v>3</v>
      </c>
      <c r="E15" s="1"/>
    </row>
    <row r="16" spans="1:5" x14ac:dyDescent="0.25">
      <c r="A16" s="1"/>
      <c r="B16" s="25" t="s">
        <v>128</v>
      </c>
      <c r="C16" s="69"/>
      <c r="D16" s="19"/>
      <c r="E16" s="1"/>
    </row>
    <row r="17" spans="1:5" ht="15" customHeight="1" x14ac:dyDescent="0.25">
      <c r="A17" s="1"/>
      <c r="B17" s="81" t="s">
        <v>129</v>
      </c>
      <c r="C17" s="10">
        <f>'Fane 7. Kontrol af ØR2021'!E31</f>
        <v>-1094750.5</v>
      </c>
      <c r="D17" s="11" t="s">
        <v>3</v>
      </c>
      <c r="E17" s="1"/>
    </row>
    <row r="18" spans="1:5" x14ac:dyDescent="0.25">
      <c r="A18" s="1"/>
      <c r="B18" s="25" t="s">
        <v>153</v>
      </c>
      <c r="C18" s="69"/>
      <c r="D18" s="19"/>
      <c r="E18" s="1"/>
    </row>
    <row r="19" spans="1:5" x14ac:dyDescent="0.25">
      <c r="A19" s="1"/>
      <c r="B19" s="81" t="s">
        <v>154</v>
      </c>
      <c r="C19" s="10">
        <f>'Fane 8. Skattesagen'!G13</f>
        <v>0</v>
      </c>
      <c r="D19" s="11" t="s">
        <v>3</v>
      </c>
      <c r="E19" s="1"/>
    </row>
    <row r="20" spans="1:5" x14ac:dyDescent="0.25">
      <c r="A20" s="1"/>
      <c r="B20" s="68" t="s">
        <v>138</v>
      </c>
      <c r="C20" s="12">
        <f>SUM(C13,C15,C17,C19)</f>
        <v>44306095.437876694</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MS1aYPkBxYU8gpOUILeBnhkLqvFqz3JrrXMlmXRenP91SEK4df7EXtt0JURMeBWSwHyFPJmzuerVy1ihRiDffw==" saltValue="V2qcQDyXtnSizZbYzmn4t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3"/>
  <dimension ref="A1:E50"/>
  <sheetViews>
    <sheetView showGridLines="0" view="pageLayout" zoomScaleNormal="100" workbookViewId="0"/>
  </sheetViews>
  <sheetFormatPr defaultColWidth="9" defaultRowHeight="15" x14ac:dyDescent="0.25"/>
  <cols>
    <col min="1" max="1" width="5" style="2" customWidth="1"/>
    <col min="2" max="2" width="63.28515625"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167</v>
      </c>
      <c r="C3" s="102"/>
      <c r="D3" s="102"/>
      <c r="E3" s="1"/>
    </row>
    <row r="4" spans="1:5" ht="15" customHeight="1" x14ac:dyDescent="0.25">
      <c r="A4" s="1"/>
      <c r="B4" s="102"/>
      <c r="C4" s="102"/>
      <c r="D4" s="102"/>
      <c r="E4" s="1"/>
    </row>
    <row r="5" spans="1:5" x14ac:dyDescent="0.25">
      <c r="A5" s="1"/>
      <c r="B5" s="103" t="s">
        <v>20</v>
      </c>
      <c r="C5" s="103"/>
      <c r="D5" s="103"/>
      <c r="E5" s="1"/>
    </row>
    <row r="6" spans="1:5" x14ac:dyDescent="0.25">
      <c r="A6" s="1"/>
      <c r="B6" s="1"/>
      <c r="C6" s="1"/>
      <c r="D6" s="1"/>
      <c r="E6" s="1"/>
    </row>
    <row r="7" spans="1:5" x14ac:dyDescent="0.25">
      <c r="A7" s="1"/>
      <c r="B7" s="68" t="s">
        <v>12</v>
      </c>
      <c r="C7" s="69"/>
      <c r="D7" s="19"/>
      <c r="E7" s="1"/>
    </row>
    <row r="8" spans="1:5" ht="15" customHeight="1" x14ac:dyDescent="0.25">
      <c r="A8" s="1"/>
      <c r="B8" s="76" t="s">
        <v>139</v>
      </c>
      <c r="C8" s="7">
        <f>'Fane 2.2. Økonomisk ramme 2024'!C13</f>
        <v>27501492.429512724</v>
      </c>
      <c r="D8" s="8" t="s">
        <v>3</v>
      </c>
      <c r="E8" s="1"/>
    </row>
    <row r="9" spans="1:5" ht="15" customHeight="1" x14ac:dyDescent="0.25">
      <c r="A9" s="1"/>
      <c r="B9" s="65" t="s">
        <v>17</v>
      </c>
      <c r="C9" s="9">
        <f>SUM(C8:C8)*'Fane 13. Nøgletal'!C15</f>
        <v>979053.13049065298</v>
      </c>
      <c r="D9" s="8" t="s">
        <v>3</v>
      </c>
      <c r="E9" s="1"/>
    </row>
    <row r="10" spans="1:5" ht="15" customHeight="1" x14ac:dyDescent="0.25">
      <c r="A10" s="1"/>
      <c r="B10" s="65" t="s">
        <v>9</v>
      </c>
      <c r="C10" s="9">
        <f>-SUM(C8:C9)*'Fane 5. Individuelt eff. krav'!G9</f>
        <v>0</v>
      </c>
      <c r="D10" s="8" t="s">
        <v>3</v>
      </c>
      <c r="E10" s="1"/>
    </row>
    <row r="11" spans="1:5" ht="15" customHeight="1" x14ac:dyDescent="0.25">
      <c r="A11" s="1"/>
      <c r="B11" s="65" t="s">
        <v>23</v>
      </c>
      <c r="C11" s="9">
        <f>-'Fane 4.1. Gen. krav - drift'!G54</f>
        <v>-293347.70389269781</v>
      </c>
      <c r="D11" s="8" t="s">
        <v>3</v>
      </c>
      <c r="E11" s="1"/>
    </row>
    <row r="12" spans="1:5" ht="15" customHeight="1" x14ac:dyDescent="0.25">
      <c r="A12" s="1"/>
      <c r="B12" s="65" t="s">
        <v>24</v>
      </c>
      <c r="C12" s="27">
        <f>-'Fane 4.2. Gen. krav - anlæg'!G54</f>
        <v>0</v>
      </c>
      <c r="D12" s="8" t="s">
        <v>3</v>
      </c>
      <c r="E12" s="1"/>
    </row>
    <row r="13" spans="1:5" x14ac:dyDescent="0.25">
      <c r="A13" s="1"/>
      <c r="B13" s="33" t="s">
        <v>19</v>
      </c>
      <c r="C13" s="10">
        <f>SUM(C8:C12)</f>
        <v>28187197.856110681</v>
      </c>
      <c r="D13" s="11" t="s">
        <v>3</v>
      </c>
      <c r="E13" s="1"/>
    </row>
    <row r="14" spans="1:5" x14ac:dyDescent="0.25">
      <c r="A14" s="1"/>
      <c r="B14" s="68" t="s">
        <v>11</v>
      </c>
      <c r="C14" s="69"/>
      <c r="D14" s="19"/>
      <c r="E14" s="1"/>
    </row>
    <row r="15" spans="1:5" ht="15" customHeight="1" x14ac:dyDescent="0.25">
      <c r="A15" s="1"/>
      <c r="B15" s="70" t="s">
        <v>11</v>
      </c>
      <c r="C15" s="10">
        <f>'Fane 6. Ikke-påvirkelige omk.'!C15*(1+'Fane 13. Nøgletal'!C15)^2</f>
        <v>18536570.493261725</v>
      </c>
      <c r="D15" s="11" t="s">
        <v>3</v>
      </c>
      <c r="E15" s="1"/>
    </row>
    <row r="16" spans="1:5" x14ac:dyDescent="0.25">
      <c r="A16" s="1"/>
      <c r="B16" s="68" t="s">
        <v>128</v>
      </c>
      <c r="C16" s="69"/>
      <c r="D16" s="19"/>
      <c r="E16" s="1"/>
    </row>
    <row r="17" spans="1:5" x14ac:dyDescent="0.25">
      <c r="A17" s="1"/>
      <c r="B17" s="70" t="s">
        <v>129</v>
      </c>
      <c r="C17" s="10">
        <v>0</v>
      </c>
      <c r="D17" s="11" t="s">
        <v>3</v>
      </c>
      <c r="E17" s="1"/>
    </row>
    <row r="18" spans="1:5" ht="15" customHeight="1" x14ac:dyDescent="0.25">
      <c r="A18" s="1"/>
      <c r="B18" s="25" t="s">
        <v>153</v>
      </c>
      <c r="C18" s="69"/>
      <c r="D18" s="19"/>
      <c r="E18" s="1"/>
    </row>
    <row r="19" spans="1:5" ht="15" customHeight="1" x14ac:dyDescent="0.25">
      <c r="A19" s="1"/>
      <c r="B19" s="81" t="s">
        <v>154</v>
      </c>
      <c r="C19" s="10">
        <f>'Fane 8. Skattesagen'!G14</f>
        <v>0</v>
      </c>
      <c r="D19" s="11" t="s">
        <v>3</v>
      </c>
      <c r="E19" s="1"/>
    </row>
    <row r="20" spans="1:5" x14ac:dyDescent="0.25">
      <c r="A20" s="1"/>
      <c r="B20" s="68" t="s">
        <v>140</v>
      </c>
      <c r="C20" s="12">
        <f>SUM(C13,C15,C17,C19)</f>
        <v>46723768.349372402</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yErYCPdwXjfvOV+7RemDlgRebM634XoF9O7S/OCzjPaWrlw7qYUENjAVbmesdb/6EU4s8BEs/57F0gHJJamNkA==" saltValue="8Ge5EL4o0ndxW0ZL5dEXdw=="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dimension ref="A1:E50"/>
  <sheetViews>
    <sheetView showGridLines="0" view="pageLayout" zoomScaleNormal="100" workbookViewId="0"/>
  </sheetViews>
  <sheetFormatPr defaultColWidth="9" defaultRowHeight="15" x14ac:dyDescent="0.25"/>
  <cols>
    <col min="1" max="1" width="5" style="2" customWidth="1"/>
    <col min="2" max="2" width="63" style="2" customWidth="1"/>
    <col min="3" max="3" width="10.28515625" style="2" customWidth="1"/>
    <col min="4" max="4" width="3.28515625" style="2" customWidth="1"/>
    <col min="5" max="5" width="5" style="2" customWidth="1"/>
    <col min="6" max="16384" width="9" style="2"/>
  </cols>
  <sheetData>
    <row r="1" spans="1:5" x14ac:dyDescent="0.25">
      <c r="A1" s="1"/>
      <c r="B1" s="1"/>
      <c r="C1" s="1"/>
      <c r="D1" s="1"/>
      <c r="E1" s="1"/>
    </row>
    <row r="2" spans="1:5" x14ac:dyDescent="0.25">
      <c r="A2" s="1"/>
      <c r="B2" s="1"/>
      <c r="C2" s="1"/>
      <c r="D2" s="1"/>
      <c r="E2" s="1"/>
    </row>
    <row r="3" spans="1:5" ht="15" customHeight="1" x14ac:dyDescent="0.25">
      <c r="A3" s="1"/>
      <c r="B3" s="102" t="s">
        <v>168</v>
      </c>
      <c r="C3" s="102"/>
      <c r="D3" s="102"/>
      <c r="E3" s="1"/>
    </row>
    <row r="4" spans="1:5" ht="15" customHeight="1" x14ac:dyDescent="0.25">
      <c r="A4" s="1"/>
      <c r="B4" s="102"/>
      <c r="C4" s="102"/>
      <c r="D4" s="102"/>
      <c r="E4" s="1"/>
    </row>
    <row r="5" spans="1:5" x14ac:dyDescent="0.25">
      <c r="A5" s="1"/>
      <c r="B5" s="103" t="s">
        <v>20</v>
      </c>
      <c r="C5" s="103"/>
      <c r="D5" s="103"/>
      <c r="E5" s="1"/>
    </row>
    <row r="6" spans="1:5" x14ac:dyDescent="0.25">
      <c r="A6" s="1"/>
      <c r="B6" s="1"/>
      <c r="C6" s="1"/>
      <c r="D6" s="1"/>
      <c r="E6" s="1"/>
    </row>
    <row r="7" spans="1:5" x14ac:dyDescent="0.25">
      <c r="A7" s="1"/>
      <c r="B7" s="68" t="s">
        <v>12</v>
      </c>
      <c r="C7" s="69"/>
      <c r="D7" s="19"/>
      <c r="E7" s="1"/>
    </row>
    <row r="8" spans="1:5" ht="15" customHeight="1" x14ac:dyDescent="0.25">
      <c r="A8" s="1"/>
      <c r="B8" s="76" t="s">
        <v>169</v>
      </c>
      <c r="C8" s="7">
        <f>'Fane 2.3. Økonomisk ramme 2025'!C13</f>
        <v>28187197.856110681</v>
      </c>
      <c r="D8" s="8" t="s">
        <v>3</v>
      </c>
      <c r="E8" s="1"/>
    </row>
    <row r="9" spans="1:5" ht="15" customHeight="1" x14ac:dyDescent="0.25">
      <c r="A9" s="1"/>
      <c r="B9" s="65" t="s">
        <v>17</v>
      </c>
      <c r="C9" s="9">
        <f>SUM(C8:C8)*'Fane 13. Nøgletal'!C15</f>
        <v>1003464.2436775402</v>
      </c>
      <c r="D9" s="8" t="s">
        <v>3</v>
      </c>
      <c r="E9" s="1"/>
    </row>
    <row r="10" spans="1:5" ht="15" customHeight="1" x14ac:dyDescent="0.25">
      <c r="A10" s="1"/>
      <c r="B10" s="65" t="s">
        <v>9</v>
      </c>
      <c r="C10" s="9">
        <f>-SUM(C8:C9)*'Fane 5. Individuelt eff. krav'!G9</f>
        <v>0</v>
      </c>
      <c r="D10" s="8" t="s">
        <v>3</v>
      </c>
      <c r="E10" s="1"/>
    </row>
    <row r="11" spans="1:5" ht="15" customHeight="1" x14ac:dyDescent="0.25">
      <c r="A11" s="1"/>
      <c r="B11" s="65" t="s">
        <v>23</v>
      </c>
      <c r="C11" s="9">
        <f>-'Fane 4.1. Gen. krav - drift'!G59</f>
        <v>-297715.06450825231</v>
      </c>
      <c r="D11" s="8" t="s">
        <v>3</v>
      </c>
      <c r="E11" s="1"/>
    </row>
    <row r="12" spans="1:5" ht="15" customHeight="1" x14ac:dyDescent="0.25">
      <c r="A12" s="1"/>
      <c r="B12" s="65" t="s">
        <v>24</v>
      </c>
      <c r="C12" s="9">
        <f>-'Fane 4.2. Gen. krav - anlæg'!G59</f>
        <v>0</v>
      </c>
      <c r="D12" s="8" t="s">
        <v>3</v>
      </c>
      <c r="E12" s="1"/>
    </row>
    <row r="13" spans="1:5" x14ac:dyDescent="0.25">
      <c r="A13" s="1"/>
      <c r="B13" s="33" t="s">
        <v>19</v>
      </c>
      <c r="C13" s="10">
        <f>SUM(C8:C12)</f>
        <v>28892947.035279971</v>
      </c>
      <c r="D13" s="11" t="s">
        <v>3</v>
      </c>
      <c r="E13" s="1"/>
    </row>
    <row r="14" spans="1:5" x14ac:dyDescent="0.25">
      <c r="A14" s="1"/>
      <c r="B14" s="68" t="s">
        <v>11</v>
      </c>
      <c r="C14" s="69"/>
      <c r="D14" s="19"/>
      <c r="E14" s="1"/>
    </row>
    <row r="15" spans="1:5" ht="15" customHeight="1" x14ac:dyDescent="0.25">
      <c r="A15" s="1"/>
      <c r="B15" s="70" t="s">
        <v>11</v>
      </c>
      <c r="C15" s="10">
        <f>'Fane 6. Ikke-påvirkelige omk.'!C15*(1+'Fane 13. Nøgletal'!C15)^3</f>
        <v>19196472.402821846</v>
      </c>
      <c r="D15" s="11" t="s">
        <v>3</v>
      </c>
      <c r="E15" s="1"/>
    </row>
    <row r="16" spans="1:5" x14ac:dyDescent="0.25">
      <c r="A16" s="1"/>
      <c r="B16" s="68" t="s">
        <v>128</v>
      </c>
      <c r="C16" s="69"/>
      <c r="D16" s="19"/>
      <c r="E16" s="1"/>
    </row>
    <row r="17" spans="1:5" x14ac:dyDescent="0.25">
      <c r="A17" s="1"/>
      <c r="B17" s="70" t="s">
        <v>129</v>
      </c>
      <c r="C17" s="10">
        <v>0</v>
      </c>
      <c r="D17" s="11" t="s">
        <v>3</v>
      </c>
      <c r="E17" s="1"/>
    </row>
    <row r="18" spans="1:5" x14ac:dyDescent="0.25">
      <c r="A18" s="1"/>
      <c r="B18" s="25" t="s">
        <v>153</v>
      </c>
      <c r="C18" s="69"/>
      <c r="D18" s="19"/>
      <c r="E18" s="1"/>
    </row>
    <row r="19" spans="1:5" x14ac:dyDescent="0.25">
      <c r="A19" s="1"/>
      <c r="B19" s="81" t="s">
        <v>154</v>
      </c>
      <c r="C19" s="10">
        <f>'Fane 8. Skattesagen'!G15</f>
        <v>0</v>
      </c>
      <c r="D19" s="11" t="s">
        <v>3</v>
      </c>
      <c r="E19" s="1"/>
    </row>
    <row r="20" spans="1:5" x14ac:dyDescent="0.25">
      <c r="A20" s="1"/>
      <c r="B20" s="68" t="s">
        <v>170</v>
      </c>
      <c r="C20" s="12">
        <f>SUM(C13,C15,C17,C19)</f>
        <v>48089419.438101813</v>
      </c>
      <c r="D20" s="13" t="s">
        <v>3</v>
      </c>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4NYfSkAtlUpt0tq6RgmSHPYv5L4Di31Q74BRg8RNRxOHsdaAVByBpZ6Ka3GhHWiwCc2sHu26LHKcHCNAxYGHcA==" saltValue="bpEVosQUW5xz71/0PuI2RA==" spinCount="100000" sheet="1" objects="1" scenarios="1"/>
  <mergeCells count="2">
    <mergeCell ref="B3:D4"/>
    <mergeCell ref="B5:D5"/>
  </mergeCells>
  <pageMargins left="0.70866141732283461" right="0.70866141732283461"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dimension ref="A1:G48"/>
  <sheetViews>
    <sheetView showGridLines="0" view="pageLayout" zoomScaleNormal="100" workbookViewId="0"/>
  </sheetViews>
  <sheetFormatPr defaultColWidth="9" defaultRowHeight="15" x14ac:dyDescent="0.25"/>
  <cols>
    <col min="1" max="1" width="7.85546875" style="2" customWidth="1"/>
    <col min="2" max="2" width="51.7109375" style="2" customWidth="1"/>
    <col min="3" max="3" width="9" style="2" hidden="1" customWidth="1"/>
    <col min="4" max="4" width="39.28515625" style="2" hidden="1" customWidth="1"/>
    <col min="5" max="5" width="11" style="2" customWidth="1"/>
    <col min="6" max="6" width="4.5703125" style="2" customWidth="1"/>
    <col min="7" max="7" width="8.28515625" style="2" customWidth="1"/>
    <col min="8" max="16384" width="9" style="2"/>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24" t="s">
        <v>171</v>
      </c>
      <c r="C3" s="124"/>
      <c r="D3" s="124"/>
      <c r="E3" s="124"/>
      <c r="F3" s="124"/>
      <c r="G3" s="1"/>
    </row>
    <row r="4" spans="1:7" ht="29.25" customHeight="1" x14ac:dyDescent="0.25">
      <c r="A4" s="1"/>
      <c r="B4" s="124"/>
      <c r="C4" s="124"/>
      <c r="D4" s="124"/>
      <c r="E4" s="124"/>
      <c r="F4" s="124"/>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8" t="s">
        <v>172</v>
      </c>
      <c r="C8" s="69"/>
      <c r="D8" s="69"/>
      <c r="E8" s="69"/>
      <c r="F8" s="19"/>
      <c r="G8" s="1"/>
    </row>
    <row r="9" spans="1:7" x14ac:dyDescent="0.25">
      <c r="A9" s="1"/>
      <c r="B9" s="125" t="s">
        <v>22</v>
      </c>
      <c r="C9" s="126"/>
      <c r="D9" s="127"/>
      <c r="E9" s="7">
        <v>25326119.402231328</v>
      </c>
      <c r="F9" s="8" t="s">
        <v>3</v>
      </c>
      <c r="G9" s="1"/>
    </row>
    <row r="10" spans="1:7" ht="15" customHeight="1" x14ac:dyDescent="0.25">
      <c r="A10" s="1"/>
      <c r="B10" s="107" t="s">
        <v>35</v>
      </c>
      <c r="C10" s="108"/>
      <c r="D10" s="109"/>
      <c r="E10" s="9">
        <v>281725.63670000003</v>
      </c>
      <c r="F10" s="8" t="s">
        <v>3</v>
      </c>
      <c r="G10" s="1"/>
    </row>
    <row r="11" spans="1:7" ht="15" customHeight="1" x14ac:dyDescent="0.25">
      <c r="A11" s="1"/>
      <c r="B11" s="107" t="s">
        <v>36</v>
      </c>
      <c r="C11" s="108"/>
      <c r="D11" s="109"/>
      <c r="E11" s="9">
        <v>33333.639200000005</v>
      </c>
      <c r="F11" s="8" t="s">
        <v>3</v>
      </c>
      <c r="G11" s="1"/>
    </row>
    <row r="12" spans="1:7" x14ac:dyDescent="0.25">
      <c r="A12" s="1"/>
      <c r="B12" s="107" t="s">
        <v>26</v>
      </c>
      <c r="C12" s="108"/>
      <c r="D12" s="109"/>
      <c r="E12" s="9">
        <v>0</v>
      </c>
      <c r="F12" s="8" t="s">
        <v>3</v>
      </c>
      <c r="G12" s="1"/>
    </row>
    <row r="13" spans="1:7" x14ac:dyDescent="0.25">
      <c r="A13" s="1"/>
      <c r="B13" s="107" t="s">
        <v>25</v>
      </c>
      <c r="C13" s="108"/>
      <c r="D13" s="109"/>
      <c r="E13" s="9">
        <v>0</v>
      </c>
      <c r="F13" s="8" t="s">
        <v>3</v>
      </c>
      <c r="G13" s="1"/>
    </row>
    <row r="14" spans="1:7" x14ac:dyDescent="0.25">
      <c r="A14" s="1"/>
      <c r="B14" s="107" t="s">
        <v>114</v>
      </c>
      <c r="C14" s="108"/>
      <c r="D14" s="109"/>
      <c r="E14" s="9">
        <v>0</v>
      </c>
      <c r="F14" s="8" t="s">
        <v>3</v>
      </c>
      <c r="G14" s="1"/>
    </row>
    <row r="15" spans="1:7" x14ac:dyDescent="0.25">
      <c r="A15" s="1"/>
      <c r="B15" s="107" t="s">
        <v>115</v>
      </c>
      <c r="C15" s="108"/>
      <c r="D15" s="109"/>
      <c r="E15" s="9">
        <v>0</v>
      </c>
      <c r="F15" s="8" t="s">
        <v>3</v>
      </c>
      <c r="G15" s="1"/>
    </row>
    <row r="16" spans="1:7" x14ac:dyDescent="0.25">
      <c r="A16" s="1"/>
      <c r="B16" s="107" t="s">
        <v>17</v>
      </c>
      <c r="C16" s="108"/>
      <c r="D16" s="109"/>
      <c r="E16" s="9">
        <v>310018.35231769225</v>
      </c>
      <c r="F16" s="8" t="s">
        <v>3</v>
      </c>
      <c r="G16" s="30"/>
    </row>
    <row r="17" spans="1:7" x14ac:dyDescent="0.25">
      <c r="A17" s="1"/>
      <c r="B17" s="107" t="s">
        <v>9</v>
      </c>
      <c r="C17" s="108"/>
      <c r="D17" s="109"/>
      <c r="E17" s="9">
        <v>-13430.571394044398</v>
      </c>
      <c r="F17" s="8" t="s">
        <v>3</v>
      </c>
      <c r="G17" s="1"/>
    </row>
    <row r="18" spans="1:7" x14ac:dyDescent="0.25">
      <c r="A18" s="1"/>
      <c r="B18" s="107" t="s">
        <v>23</v>
      </c>
      <c r="C18" s="108"/>
      <c r="D18" s="109"/>
      <c r="E18" s="9">
        <v>-263660.40552275942</v>
      </c>
      <c r="F18" s="8" t="s">
        <v>3</v>
      </c>
      <c r="G18" s="1"/>
    </row>
    <row r="19" spans="1:7" x14ac:dyDescent="0.25">
      <c r="A19" s="1"/>
      <c r="B19" s="107" t="s">
        <v>24</v>
      </c>
      <c r="C19" s="108"/>
      <c r="D19" s="109"/>
      <c r="E19" s="9">
        <v>-351089.6149633397</v>
      </c>
      <c r="F19" s="8" t="s">
        <v>3</v>
      </c>
      <c r="G19" s="1"/>
    </row>
    <row r="20" spans="1:7" x14ac:dyDescent="0.25">
      <c r="A20" s="1"/>
      <c r="B20" s="110" t="s">
        <v>19</v>
      </c>
      <c r="C20" s="111"/>
      <c r="D20" s="112"/>
      <c r="E20" s="31">
        <f>SUM(E9:E19)</f>
        <v>25323016.438568871</v>
      </c>
      <c r="F20" s="34" t="s">
        <v>3</v>
      </c>
      <c r="G20" s="1"/>
    </row>
    <row r="21" spans="1:7" x14ac:dyDescent="0.25">
      <c r="A21" s="1"/>
      <c r="B21" s="68" t="s">
        <v>11</v>
      </c>
      <c r="C21" s="69"/>
      <c r="D21" s="69"/>
      <c r="E21" s="69"/>
      <c r="F21" s="19"/>
      <c r="G21" s="1"/>
    </row>
    <row r="22" spans="1:7" x14ac:dyDescent="0.25">
      <c r="A22" s="1"/>
      <c r="B22" s="118" t="s">
        <v>11</v>
      </c>
      <c r="C22" s="119"/>
      <c r="D22" s="120"/>
      <c r="E22" s="10">
        <v>15566465.343297372</v>
      </c>
      <c r="F22" s="11" t="s">
        <v>3</v>
      </c>
      <c r="G22" s="1"/>
    </row>
    <row r="23" spans="1:7" ht="15" customHeight="1" x14ac:dyDescent="0.25">
      <c r="A23" s="1"/>
      <c r="B23" s="116" t="s">
        <v>80</v>
      </c>
      <c r="C23" s="117"/>
      <c r="D23" s="117"/>
      <c r="E23" s="69"/>
      <c r="F23" s="69"/>
      <c r="G23" s="1"/>
    </row>
    <row r="24" spans="1:7" ht="14.25" customHeight="1" x14ac:dyDescent="0.25">
      <c r="A24" s="1"/>
      <c r="B24" s="104" t="s">
        <v>76</v>
      </c>
      <c r="C24" s="105"/>
      <c r="D24" s="106"/>
      <c r="E24" s="9">
        <v>0</v>
      </c>
      <c r="F24" s="8" t="s">
        <v>3</v>
      </c>
      <c r="G24" s="1"/>
    </row>
    <row r="25" spans="1:7" ht="14.25" customHeight="1" x14ac:dyDescent="0.25">
      <c r="A25" s="1"/>
      <c r="B25" s="104" t="s">
        <v>77</v>
      </c>
      <c r="C25" s="105"/>
      <c r="D25" s="106"/>
      <c r="E25" s="9">
        <v>0</v>
      </c>
      <c r="F25" s="8" t="s">
        <v>3</v>
      </c>
      <c r="G25" s="1"/>
    </row>
    <row r="26" spans="1:7" x14ac:dyDescent="0.25">
      <c r="A26" s="1"/>
      <c r="B26" s="113" t="s">
        <v>81</v>
      </c>
      <c r="C26" s="114"/>
      <c r="D26" s="114"/>
      <c r="E26" s="10">
        <v>0</v>
      </c>
      <c r="F26" s="11" t="s">
        <v>3</v>
      </c>
      <c r="G26" s="1"/>
    </row>
    <row r="27" spans="1:7" x14ac:dyDescent="0.25">
      <c r="A27" s="1"/>
      <c r="B27" s="68" t="s">
        <v>128</v>
      </c>
      <c r="C27" s="69"/>
      <c r="D27" s="69"/>
      <c r="E27" s="69"/>
      <c r="F27" s="19"/>
      <c r="G27" s="1"/>
    </row>
    <row r="28" spans="1:7" ht="15" customHeight="1" x14ac:dyDescent="0.25">
      <c r="A28" s="1"/>
      <c r="B28" s="113" t="s">
        <v>129</v>
      </c>
      <c r="C28" s="114"/>
      <c r="D28" s="115"/>
      <c r="E28" s="10">
        <v>-1902277</v>
      </c>
      <c r="F28" s="11" t="s">
        <v>3</v>
      </c>
      <c r="G28" s="1"/>
    </row>
    <row r="29" spans="1:7" x14ac:dyDescent="0.25">
      <c r="A29" s="1"/>
      <c r="B29" s="68" t="s">
        <v>159</v>
      </c>
      <c r="C29" s="69"/>
      <c r="D29" s="69"/>
      <c r="E29" s="69"/>
      <c r="F29" s="19"/>
      <c r="G29" s="1"/>
    </row>
    <row r="30" spans="1:7" ht="15.75" customHeight="1" x14ac:dyDescent="0.25">
      <c r="A30" s="1"/>
      <c r="B30" s="118" t="s">
        <v>160</v>
      </c>
      <c r="C30" s="119"/>
      <c r="D30" s="120"/>
      <c r="E30" s="10">
        <v>0</v>
      </c>
      <c r="F30" s="11" t="s">
        <v>3</v>
      </c>
      <c r="G30" s="1"/>
    </row>
    <row r="31" spans="1:7" ht="15.75" customHeight="1" x14ac:dyDescent="0.25">
      <c r="A31" s="1"/>
      <c r="B31" s="121" t="s">
        <v>153</v>
      </c>
      <c r="C31" s="122"/>
      <c r="D31" s="122"/>
      <c r="E31" s="122"/>
      <c r="F31" s="123"/>
      <c r="G31" s="1"/>
    </row>
    <row r="32" spans="1:7" ht="15.75" customHeight="1" x14ac:dyDescent="0.25">
      <c r="A32" s="1"/>
      <c r="B32" s="81" t="s">
        <v>154</v>
      </c>
      <c r="C32" s="10"/>
      <c r="D32" s="11"/>
      <c r="E32" s="10">
        <f>'Fane 8. Skattesagen'!G11</f>
        <v>0</v>
      </c>
      <c r="F32" s="11" t="s">
        <v>3</v>
      </c>
      <c r="G32" s="1"/>
    </row>
    <row r="33" spans="1:7" x14ac:dyDescent="0.25">
      <c r="A33" s="1"/>
      <c r="B33" s="35" t="s">
        <v>27</v>
      </c>
      <c r="C33" s="38"/>
      <c r="D33" s="38"/>
      <c r="E33" s="32">
        <f>E20+E22+E26+E28+E30+E32</f>
        <v>38987204.781866245</v>
      </c>
      <c r="F33" s="37" t="s">
        <v>3</v>
      </c>
      <c r="G33" s="1"/>
    </row>
    <row r="34" spans="1:7" ht="27.75" customHeight="1" x14ac:dyDescent="0.25">
      <c r="A34" s="1"/>
      <c r="B34" s="104" t="s">
        <v>173</v>
      </c>
      <c r="C34" s="105"/>
      <c r="D34" s="105"/>
      <c r="E34" s="105"/>
      <c r="F34" s="106"/>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sheetData>
  <sheetProtection algorithmName="SHA-512" hashValue="OhQmW2Rp4f/IPP8EGJ8qIKX10pDme11UrH7GiIGNqF/f2reL5XE5VUQvnwde3442TvB5FD76f1pKhBoav5zmfg==" saltValue="Rw5aNRt7MaceRZFXi3hTnw==" spinCount="100000" sheet="1" objects="1" scenarios="1"/>
  <mergeCells count="22">
    <mergeCell ref="B13:D13"/>
    <mergeCell ref="B14:D14"/>
    <mergeCell ref="B15:D15"/>
    <mergeCell ref="B22:D22"/>
    <mergeCell ref="B3:F4"/>
    <mergeCell ref="B9:D9"/>
    <mergeCell ref="B10:D10"/>
    <mergeCell ref="B11:D11"/>
    <mergeCell ref="B12:D12"/>
    <mergeCell ref="B34:F34"/>
    <mergeCell ref="B16:D16"/>
    <mergeCell ref="B17:D17"/>
    <mergeCell ref="B18:D18"/>
    <mergeCell ref="B19:D19"/>
    <mergeCell ref="B20:D20"/>
    <mergeCell ref="B28:D28"/>
    <mergeCell ref="B23:D23"/>
    <mergeCell ref="B24:D24"/>
    <mergeCell ref="B25:D25"/>
    <mergeCell ref="B26:D26"/>
    <mergeCell ref="B30:D30"/>
    <mergeCell ref="B31:F31"/>
  </mergeCells>
  <pageMargins left="0.70866141732283461" right="0.70866141732283461" top="0.74803149606299213" bottom="0.74803149606299213" header="0.31496062992125984" footer="0.31496062992125984"/>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dimension ref="A1:I66"/>
  <sheetViews>
    <sheetView showGridLines="0" view="pageLayout" zoomScaleNormal="100" workbookViewId="0"/>
  </sheetViews>
  <sheetFormatPr defaultColWidth="9" defaultRowHeight="15" x14ac:dyDescent="0.25"/>
  <cols>
    <col min="1" max="1" width="6" style="2" customWidth="1"/>
    <col min="2" max="5" width="9" style="2"/>
    <col min="6" max="6" width="18.85546875" style="2" customWidth="1"/>
    <col min="7" max="7" width="13.28515625" style="43" customWidth="1"/>
    <col min="8" max="8" width="3.7109375" style="2" customWidth="1"/>
    <col min="9" max="9" width="6.7109375" style="2" customWidth="1"/>
    <col min="10" max="16384" width="9" style="2"/>
  </cols>
  <sheetData>
    <row r="1" spans="1:9" ht="15" customHeight="1" x14ac:dyDescent="0.25">
      <c r="A1" s="1"/>
      <c r="B1" s="124" t="s">
        <v>98</v>
      </c>
      <c r="C1" s="124"/>
      <c r="D1" s="124"/>
      <c r="E1" s="124"/>
      <c r="F1" s="124"/>
      <c r="G1" s="124"/>
      <c r="H1" s="124"/>
      <c r="I1" s="1"/>
    </row>
    <row r="2" spans="1:9" ht="15" customHeight="1" x14ac:dyDescent="0.25">
      <c r="A2" s="1"/>
      <c r="B2" s="124"/>
      <c r="C2" s="124"/>
      <c r="D2" s="124"/>
      <c r="E2" s="124"/>
      <c r="F2" s="124"/>
      <c r="G2" s="124"/>
      <c r="H2" s="124"/>
      <c r="I2" s="1"/>
    </row>
    <row r="3" spans="1:9" ht="15" customHeight="1" x14ac:dyDescent="0.25">
      <c r="A3" s="1"/>
      <c r="B3" s="124"/>
      <c r="C3" s="124"/>
      <c r="D3" s="124"/>
      <c r="E3" s="124"/>
      <c r="F3" s="124"/>
      <c r="G3" s="124"/>
      <c r="H3" s="124"/>
      <c r="I3" s="1"/>
    </row>
    <row r="4" spans="1:9" x14ac:dyDescent="0.25">
      <c r="A4" s="1"/>
      <c r="B4" s="121" t="s">
        <v>49</v>
      </c>
      <c r="C4" s="122"/>
      <c r="D4" s="122"/>
      <c r="E4" s="122"/>
      <c r="F4" s="122"/>
      <c r="G4" s="122"/>
      <c r="H4" s="123"/>
      <c r="I4" s="1"/>
    </row>
    <row r="5" spans="1:9" x14ac:dyDescent="0.25">
      <c r="A5" s="1"/>
      <c r="B5" s="128" t="s">
        <v>38</v>
      </c>
      <c r="C5" s="129"/>
      <c r="D5" s="129"/>
      <c r="E5" s="129"/>
      <c r="F5" s="130"/>
      <c r="G5" s="58">
        <v>11376379</v>
      </c>
      <c r="H5" s="14" t="s">
        <v>3</v>
      </c>
      <c r="I5" s="1"/>
    </row>
    <row r="6" spans="1:9" x14ac:dyDescent="0.25">
      <c r="A6" s="1"/>
      <c r="B6" s="128" t="s">
        <v>39</v>
      </c>
      <c r="C6" s="129"/>
      <c r="D6" s="129"/>
      <c r="E6" s="129"/>
      <c r="F6" s="130"/>
      <c r="G6" s="58">
        <f>G5*'Fane 13. Nøgletal'!C31</f>
        <v>227527.58000000002</v>
      </c>
      <c r="H6" s="14" t="s">
        <v>3</v>
      </c>
      <c r="I6" s="1"/>
    </row>
    <row r="7" spans="1:9" x14ac:dyDescent="0.25">
      <c r="A7" s="1"/>
      <c r="B7" s="68"/>
      <c r="C7" s="69"/>
      <c r="D7" s="69"/>
      <c r="E7" s="69"/>
      <c r="F7" s="69"/>
      <c r="G7" s="59"/>
      <c r="H7" s="19"/>
      <c r="I7" s="1"/>
    </row>
    <row r="8" spans="1:9" x14ac:dyDescent="0.25">
      <c r="A8" s="1"/>
      <c r="B8" s="1"/>
      <c r="C8" s="1"/>
      <c r="D8" s="1"/>
      <c r="E8" s="1"/>
      <c r="F8" s="1"/>
      <c r="G8" s="60"/>
      <c r="H8" s="1"/>
      <c r="I8" s="1"/>
    </row>
    <row r="9" spans="1:9" x14ac:dyDescent="0.25">
      <c r="A9" s="1"/>
      <c r="B9" s="121" t="s">
        <v>50</v>
      </c>
      <c r="C9" s="122"/>
      <c r="D9" s="122"/>
      <c r="E9" s="122"/>
      <c r="F9" s="122"/>
      <c r="G9" s="134"/>
      <c r="H9" s="123"/>
      <c r="I9" s="1"/>
    </row>
    <row r="10" spans="1:9" x14ac:dyDescent="0.25">
      <c r="A10" s="1"/>
      <c r="B10" s="128" t="s">
        <v>40</v>
      </c>
      <c r="C10" s="129"/>
      <c r="D10" s="129"/>
      <c r="E10" s="129"/>
      <c r="F10" s="130"/>
      <c r="G10" s="64">
        <f>(G5+G11-G6)*(1+'[4]Fane 12. Nøgletal'!C9)</f>
        <v>11520867.540233999</v>
      </c>
      <c r="H10" s="14" t="s">
        <v>3</v>
      </c>
      <c r="I10" s="1"/>
    </row>
    <row r="11" spans="1:9" x14ac:dyDescent="0.25">
      <c r="A11" s="1"/>
      <c r="B11" s="82" t="s">
        <v>254</v>
      </c>
      <c r="C11" s="78"/>
      <c r="D11" s="78"/>
      <c r="E11" s="78"/>
      <c r="F11" s="79"/>
      <c r="G11" s="64">
        <v>227536</v>
      </c>
      <c r="H11" s="14" t="s">
        <v>3</v>
      </c>
      <c r="I11" s="1"/>
    </row>
    <row r="12" spans="1:9" x14ac:dyDescent="0.25">
      <c r="A12" s="1"/>
      <c r="B12" s="131" t="s">
        <v>41</v>
      </c>
      <c r="C12" s="132"/>
      <c r="D12" s="132"/>
      <c r="E12" s="132"/>
      <c r="F12" s="133"/>
      <c r="G12" s="58">
        <v>0</v>
      </c>
      <c r="H12" s="14" t="s">
        <v>3</v>
      </c>
      <c r="I12" s="1"/>
    </row>
    <row r="13" spans="1:9" x14ac:dyDescent="0.25">
      <c r="A13" s="1"/>
      <c r="B13" s="128" t="s">
        <v>42</v>
      </c>
      <c r="C13" s="129"/>
      <c r="D13" s="129"/>
      <c r="E13" s="129"/>
      <c r="F13" s="130"/>
      <c r="G13" s="58">
        <f>(G10+G12)*'Fane 13. Nøgletal'!C31</f>
        <v>230417.35080468</v>
      </c>
      <c r="H13" s="14" t="s">
        <v>3</v>
      </c>
      <c r="I13" s="1"/>
    </row>
    <row r="14" spans="1:9" x14ac:dyDescent="0.25">
      <c r="A14" s="1"/>
      <c r="B14" s="68"/>
      <c r="C14" s="69"/>
      <c r="D14" s="69"/>
      <c r="E14" s="69"/>
      <c r="F14" s="69"/>
      <c r="G14" s="59"/>
      <c r="H14" s="19"/>
      <c r="I14" s="1"/>
    </row>
    <row r="15" spans="1:9" x14ac:dyDescent="0.25">
      <c r="A15" s="1"/>
      <c r="B15" s="1"/>
      <c r="C15" s="1"/>
      <c r="D15" s="1"/>
      <c r="E15" s="1"/>
      <c r="F15" s="1"/>
      <c r="G15" s="60"/>
      <c r="H15" s="1"/>
      <c r="I15" s="1"/>
    </row>
    <row r="16" spans="1:9" x14ac:dyDescent="0.25">
      <c r="A16" s="1"/>
      <c r="B16" s="121" t="s">
        <v>51</v>
      </c>
      <c r="C16" s="122"/>
      <c r="D16" s="122"/>
      <c r="E16" s="122"/>
      <c r="F16" s="122"/>
      <c r="G16" s="134"/>
      <c r="H16" s="123"/>
      <c r="I16" s="1"/>
    </row>
    <row r="17" spans="1:9" x14ac:dyDescent="0.25">
      <c r="A17" s="1"/>
      <c r="B17" s="128" t="s">
        <v>43</v>
      </c>
      <c r="C17" s="129"/>
      <c r="D17" s="129"/>
      <c r="E17" s="129"/>
      <c r="F17" s="130"/>
      <c r="G17" s="58">
        <f>(G10+G12-G13)*(1+'Fane 13. Nøgletal'!C11)</f>
        <v>11481258.797630675</v>
      </c>
      <c r="H17" s="14" t="s">
        <v>3</v>
      </c>
      <c r="I17" s="1"/>
    </row>
    <row r="18" spans="1:9" x14ac:dyDescent="0.25">
      <c r="A18" s="1"/>
      <c r="B18" s="128" t="s">
        <v>108</v>
      </c>
      <c r="C18" s="129"/>
      <c r="D18" s="129"/>
      <c r="E18" s="129"/>
      <c r="F18" s="130"/>
      <c r="G18" s="58">
        <v>235291.70335695994</v>
      </c>
      <c r="H18" s="14" t="s">
        <v>3</v>
      </c>
      <c r="I18" s="1"/>
    </row>
    <row r="19" spans="1:9" x14ac:dyDescent="0.25">
      <c r="A19" s="1"/>
      <c r="B19" s="131" t="s">
        <v>44</v>
      </c>
      <c r="C19" s="132"/>
      <c r="D19" s="132"/>
      <c r="E19" s="132"/>
      <c r="F19" s="133"/>
      <c r="G19" s="58">
        <v>0</v>
      </c>
      <c r="H19" s="14" t="s">
        <v>3</v>
      </c>
      <c r="I19" s="1"/>
    </row>
    <row r="20" spans="1:9" x14ac:dyDescent="0.25">
      <c r="A20" s="1"/>
      <c r="B20" s="128" t="s">
        <v>45</v>
      </c>
      <c r="C20" s="129"/>
      <c r="D20" s="129"/>
      <c r="E20" s="129"/>
      <c r="F20" s="130"/>
      <c r="G20" s="58">
        <f>SUM(G17:G19)*'Fane 13. Nøgletal'!C31</f>
        <v>234331.01001975272</v>
      </c>
      <c r="H20" s="14" t="s">
        <v>3</v>
      </c>
      <c r="I20" s="1"/>
    </row>
    <row r="21" spans="1:9" x14ac:dyDescent="0.25">
      <c r="A21" s="1"/>
      <c r="B21" s="68"/>
      <c r="C21" s="69"/>
      <c r="D21" s="69"/>
      <c r="E21" s="69"/>
      <c r="F21" s="69"/>
      <c r="G21" s="59"/>
      <c r="H21" s="19"/>
      <c r="I21" s="1"/>
    </row>
    <row r="22" spans="1:9" x14ac:dyDescent="0.25">
      <c r="A22" s="1"/>
      <c r="B22" s="1"/>
      <c r="C22" s="1"/>
      <c r="D22" s="1"/>
      <c r="E22" s="1"/>
      <c r="F22" s="1"/>
      <c r="G22" s="60"/>
      <c r="H22" s="1"/>
      <c r="I22" s="1"/>
    </row>
    <row r="23" spans="1:9" x14ac:dyDescent="0.25">
      <c r="A23" s="1"/>
      <c r="B23" s="121" t="s">
        <v>52</v>
      </c>
      <c r="C23" s="122"/>
      <c r="D23" s="122"/>
      <c r="E23" s="122"/>
      <c r="F23" s="122"/>
      <c r="G23" s="134"/>
      <c r="H23" s="123"/>
      <c r="I23" s="1"/>
    </row>
    <row r="24" spans="1:9" x14ac:dyDescent="0.25">
      <c r="A24" s="1"/>
      <c r="B24" s="128" t="s">
        <v>46</v>
      </c>
      <c r="C24" s="129"/>
      <c r="D24" s="129"/>
      <c r="E24" s="129"/>
      <c r="F24" s="130"/>
      <c r="G24" s="58">
        <f>(SUM(G17:G19)-G20)*(1+'Fane 13. Nøgletal'!C11)</f>
        <v>11676269.000365239</v>
      </c>
      <c r="H24" s="14" t="s">
        <v>3</v>
      </c>
      <c r="I24" s="1"/>
    </row>
    <row r="25" spans="1:9" x14ac:dyDescent="0.25">
      <c r="A25" s="1"/>
      <c r="B25" s="131" t="s">
        <v>47</v>
      </c>
      <c r="C25" s="132"/>
      <c r="D25" s="132"/>
      <c r="E25" s="132"/>
      <c r="F25" s="133"/>
      <c r="G25" s="58">
        <v>1117924.0058111402</v>
      </c>
      <c r="H25" s="14" t="s">
        <v>3</v>
      </c>
      <c r="I25" s="1"/>
    </row>
    <row r="26" spans="1:9" x14ac:dyDescent="0.25">
      <c r="A26" s="1"/>
      <c r="B26" s="128" t="s">
        <v>48</v>
      </c>
      <c r="C26" s="129"/>
      <c r="D26" s="129"/>
      <c r="E26" s="129"/>
      <c r="F26" s="130"/>
      <c r="G26" s="58">
        <f>(G24+G25)*'Fane 13. Nøgletal'!C31</f>
        <v>255883.86012352759</v>
      </c>
      <c r="H26" s="14" t="s">
        <v>3</v>
      </c>
      <c r="I26" s="1"/>
    </row>
    <row r="27" spans="1:9" x14ac:dyDescent="0.25">
      <c r="A27" s="1"/>
      <c r="B27" s="68"/>
      <c r="C27" s="69"/>
      <c r="D27" s="69"/>
      <c r="E27" s="69"/>
      <c r="F27" s="69"/>
      <c r="G27" s="59"/>
      <c r="H27" s="19"/>
      <c r="I27" s="1"/>
    </row>
    <row r="28" spans="1:9" x14ac:dyDescent="0.25">
      <c r="A28" s="1"/>
      <c r="B28" s="1"/>
      <c r="C28" s="1"/>
      <c r="D28" s="1"/>
      <c r="E28" s="1"/>
      <c r="F28" s="1"/>
      <c r="G28" s="60"/>
      <c r="H28" s="1"/>
      <c r="I28" s="1"/>
    </row>
    <row r="29" spans="1:9" x14ac:dyDescent="0.25">
      <c r="A29" s="1"/>
      <c r="B29" s="121" t="s">
        <v>132</v>
      </c>
      <c r="C29" s="122"/>
      <c r="D29" s="122"/>
      <c r="E29" s="122"/>
      <c r="F29" s="122"/>
      <c r="G29" s="134"/>
      <c r="H29" s="123"/>
      <c r="I29" s="1"/>
    </row>
    <row r="30" spans="1:9" x14ac:dyDescent="0.25">
      <c r="A30" s="1"/>
      <c r="B30" s="128" t="s">
        <v>55</v>
      </c>
      <c r="C30" s="129"/>
      <c r="D30" s="129"/>
      <c r="E30" s="129"/>
      <c r="F30" s="130"/>
      <c r="G30" s="58">
        <f>(G24+G25-G26)*(1+'Fane 13. Nøgletal'!C13)</f>
        <v>12691276.517634695</v>
      </c>
      <c r="H30" s="14" t="s">
        <v>3</v>
      </c>
      <c r="I30" s="1"/>
    </row>
    <row r="31" spans="1:9" x14ac:dyDescent="0.25">
      <c r="A31" s="1"/>
      <c r="B31" s="128" t="s">
        <v>121</v>
      </c>
      <c r="C31" s="129"/>
      <c r="D31" s="129"/>
      <c r="E31" s="129"/>
      <c r="F31" s="130"/>
      <c r="G31" s="58">
        <v>313700.46202655998</v>
      </c>
      <c r="H31" s="14" t="s">
        <v>3</v>
      </c>
      <c r="I31" s="1"/>
    </row>
    <row r="32" spans="1:9" x14ac:dyDescent="0.25">
      <c r="A32" s="1"/>
      <c r="B32" s="128" t="s">
        <v>126</v>
      </c>
      <c r="C32" s="129"/>
      <c r="D32" s="129"/>
      <c r="E32" s="129"/>
      <c r="F32" s="130"/>
      <c r="G32" s="58">
        <f>(G30+G31)*'Fane 13. Nøgletal'!C31</f>
        <v>260099.53959322514</v>
      </c>
      <c r="H32" s="14" t="s">
        <v>3</v>
      </c>
      <c r="I32" s="1"/>
    </row>
    <row r="33" spans="1:9" x14ac:dyDescent="0.25">
      <c r="A33" s="1"/>
      <c r="B33" s="68"/>
      <c r="C33" s="69"/>
      <c r="D33" s="69"/>
      <c r="E33" s="69"/>
      <c r="F33" s="69"/>
      <c r="G33" s="59"/>
      <c r="H33" s="19"/>
      <c r="I33" s="1"/>
    </row>
    <row r="34" spans="1:9" x14ac:dyDescent="0.25">
      <c r="A34" s="1"/>
      <c r="B34" s="1"/>
      <c r="C34" s="1"/>
      <c r="D34" s="1"/>
      <c r="E34" s="1"/>
      <c r="F34" s="1"/>
      <c r="G34" s="60"/>
      <c r="H34" s="1"/>
      <c r="I34" s="1"/>
    </row>
    <row r="35" spans="1:9" x14ac:dyDescent="0.25">
      <c r="A35" s="1"/>
      <c r="B35" s="121" t="s">
        <v>133</v>
      </c>
      <c r="C35" s="122"/>
      <c r="D35" s="122"/>
      <c r="E35" s="122"/>
      <c r="F35" s="122"/>
      <c r="G35" s="134"/>
      <c r="H35" s="123"/>
      <c r="I35" s="1"/>
    </row>
    <row r="36" spans="1:9" x14ac:dyDescent="0.25">
      <c r="A36" s="1"/>
      <c r="B36" s="128" t="s">
        <v>74</v>
      </c>
      <c r="C36" s="129"/>
      <c r="D36" s="129"/>
      <c r="E36" s="129"/>
      <c r="F36" s="130"/>
      <c r="G36" s="58">
        <f>(G30+G31-G32)*(1+'Fane 13. Nøgletal'!C13)</f>
        <v>12900364.944836861</v>
      </c>
      <c r="H36" s="14" t="s">
        <v>3</v>
      </c>
      <c r="I36" s="1"/>
    </row>
    <row r="37" spans="1:9" x14ac:dyDescent="0.25">
      <c r="A37" s="1"/>
      <c r="B37" s="128" t="s">
        <v>152</v>
      </c>
      <c r="C37" s="129"/>
      <c r="D37" s="129"/>
      <c r="E37" s="129"/>
      <c r="F37" s="130"/>
      <c r="G37" s="58">
        <f>('Fane 3. Omkostninger i ØR2022'!E10+'Fane 3. Omkostninger i ØR2022'!E12+'Fane 3. Omkostninger i ØR2022'!E14)*(1+'Fane 13. Nøgletal'!C14)</f>
        <v>282655.33130111004</v>
      </c>
      <c r="H37" s="14" t="s">
        <v>3</v>
      </c>
      <c r="I37" s="1"/>
    </row>
    <row r="38" spans="1:9" x14ac:dyDescent="0.25">
      <c r="A38" s="1"/>
      <c r="B38" s="128" t="s">
        <v>134</v>
      </c>
      <c r="C38" s="129"/>
      <c r="D38" s="129"/>
      <c r="E38" s="129"/>
      <c r="F38" s="130"/>
      <c r="G38" s="58">
        <f>(G36+G37)*'Fane 13. Nøgletal'!C31</f>
        <v>263660.40552275942</v>
      </c>
      <c r="H38" s="14" t="s">
        <v>3</v>
      </c>
      <c r="I38" s="1"/>
    </row>
    <row r="39" spans="1:9" x14ac:dyDescent="0.25">
      <c r="A39" s="1"/>
      <c r="B39" s="68"/>
      <c r="C39" s="69"/>
      <c r="D39" s="69"/>
      <c r="E39" s="69"/>
      <c r="F39" s="69"/>
      <c r="G39" s="59"/>
      <c r="H39" s="19"/>
      <c r="I39" s="1"/>
    </row>
    <row r="40" spans="1:9" x14ac:dyDescent="0.25">
      <c r="A40" s="1"/>
      <c r="B40" s="1"/>
      <c r="C40" s="1"/>
      <c r="D40" s="1"/>
      <c r="E40" s="1"/>
      <c r="F40" s="1"/>
      <c r="G40" s="60"/>
      <c r="H40" s="1"/>
      <c r="I40" s="1"/>
    </row>
    <row r="41" spans="1:9" x14ac:dyDescent="0.25">
      <c r="A41" s="1"/>
      <c r="B41" s="121" t="s">
        <v>198</v>
      </c>
      <c r="C41" s="122"/>
      <c r="D41" s="122"/>
      <c r="E41" s="122"/>
      <c r="F41" s="122"/>
      <c r="G41" s="134"/>
      <c r="H41" s="123"/>
      <c r="I41" s="1"/>
    </row>
    <row r="42" spans="1:9" x14ac:dyDescent="0.25">
      <c r="A42" s="1"/>
      <c r="B42" s="128" t="s">
        <v>73</v>
      </c>
      <c r="C42" s="129"/>
      <c r="D42" s="129"/>
      <c r="E42" s="129"/>
      <c r="F42" s="130"/>
      <c r="G42" s="58">
        <f>(G36+G37-G38)*(1+'Fane 13. Nøgletal'!C15)</f>
        <v>13379289.082009112</v>
      </c>
      <c r="H42" s="14" t="s">
        <v>3</v>
      </c>
      <c r="I42" s="1"/>
    </row>
    <row r="43" spans="1:9" x14ac:dyDescent="0.25">
      <c r="A43" s="1"/>
      <c r="B43" s="128" t="s">
        <v>197</v>
      </c>
      <c r="C43" s="129"/>
      <c r="D43" s="129"/>
      <c r="E43" s="129"/>
      <c r="F43" s="130"/>
      <c r="G43" s="58">
        <f>('Fane 2.1. Økonomisk ramme 2023'!C9+'Fane 2.1. Økonomisk ramme 2023'!C11+'Fane 2.1. Økonomisk ramme 2023'!C13)*(1+'Fane 13. Nøgletal'!C15)</f>
        <v>860923.17324000003</v>
      </c>
      <c r="H43" s="14" t="s">
        <v>3</v>
      </c>
      <c r="I43" s="1"/>
    </row>
    <row r="44" spans="1:9" x14ac:dyDescent="0.25">
      <c r="A44" s="1"/>
      <c r="B44" s="128" t="s">
        <v>208</v>
      </c>
      <c r="C44" s="129"/>
      <c r="D44" s="129"/>
      <c r="E44" s="129"/>
      <c r="F44" s="130"/>
      <c r="G44" s="58">
        <f>(G42+G43)*'Fane 13. Nøgletal'!C31</f>
        <v>284804.24510498228</v>
      </c>
      <c r="H44" s="14" t="s">
        <v>3</v>
      </c>
      <c r="I44" s="1"/>
    </row>
    <row r="45" spans="1:9" x14ac:dyDescent="0.25">
      <c r="A45" s="1"/>
      <c r="B45" s="68"/>
      <c r="C45" s="69"/>
      <c r="D45" s="69"/>
      <c r="E45" s="69"/>
      <c r="F45" s="69"/>
      <c r="G45" s="59"/>
      <c r="H45" s="19"/>
      <c r="I45" s="1"/>
    </row>
    <row r="46" spans="1:9" x14ac:dyDescent="0.25">
      <c r="A46" s="1"/>
      <c r="B46" s="1"/>
      <c r="C46" s="1"/>
      <c r="D46" s="1"/>
      <c r="E46" s="1"/>
      <c r="F46" s="1"/>
      <c r="G46" s="60"/>
      <c r="H46" s="1"/>
      <c r="I46" s="1"/>
    </row>
    <row r="47" spans="1:9" x14ac:dyDescent="0.25">
      <c r="A47" s="1"/>
      <c r="B47" s="121" t="s">
        <v>199</v>
      </c>
      <c r="C47" s="122"/>
      <c r="D47" s="122"/>
      <c r="E47" s="122"/>
      <c r="F47" s="122"/>
      <c r="G47" s="134"/>
      <c r="H47" s="123"/>
      <c r="I47" s="1"/>
    </row>
    <row r="48" spans="1:9" x14ac:dyDescent="0.25">
      <c r="A48" s="1"/>
      <c r="B48" s="128" t="s">
        <v>122</v>
      </c>
      <c r="C48" s="129"/>
      <c r="D48" s="129"/>
      <c r="E48" s="129"/>
      <c r="F48" s="130"/>
      <c r="G48" s="58">
        <f>(G42+G43-G44)*(1+'Fane 13. Nøgletal'!C15)</f>
        <v>14452220.535305263</v>
      </c>
      <c r="H48" s="14" t="s">
        <v>3</v>
      </c>
      <c r="I48" s="1"/>
    </row>
    <row r="49" spans="1:9" x14ac:dyDescent="0.25">
      <c r="A49" s="1"/>
      <c r="B49" s="128" t="s">
        <v>209</v>
      </c>
      <c r="C49" s="129"/>
      <c r="D49" s="129"/>
      <c r="E49" s="129"/>
      <c r="F49" s="130"/>
      <c r="G49" s="58">
        <f>(G48)*'Fane 13. Nøgletal'!C31</f>
        <v>289044.41070610529</v>
      </c>
      <c r="H49" s="14" t="s">
        <v>3</v>
      </c>
      <c r="I49" s="1"/>
    </row>
    <row r="50" spans="1:9" x14ac:dyDescent="0.25">
      <c r="A50" s="1"/>
      <c r="B50" s="68"/>
      <c r="C50" s="69"/>
      <c r="D50" s="69"/>
      <c r="E50" s="69"/>
      <c r="F50" s="69"/>
      <c r="G50" s="59"/>
      <c r="H50" s="19"/>
      <c r="I50" s="1"/>
    </row>
    <row r="51" spans="1:9" x14ac:dyDescent="0.25">
      <c r="A51" s="1"/>
      <c r="B51" s="1"/>
      <c r="C51" s="1"/>
      <c r="D51" s="1"/>
      <c r="E51" s="1"/>
      <c r="F51" s="1"/>
      <c r="G51" s="60"/>
      <c r="H51" s="1"/>
      <c r="I51" s="1"/>
    </row>
    <row r="52" spans="1:9" x14ac:dyDescent="0.25">
      <c r="A52" s="1"/>
      <c r="B52" s="121" t="s">
        <v>145</v>
      </c>
      <c r="C52" s="122"/>
      <c r="D52" s="122"/>
      <c r="E52" s="122"/>
      <c r="F52" s="122"/>
      <c r="G52" s="134"/>
      <c r="H52" s="123"/>
      <c r="I52" s="1"/>
    </row>
    <row r="53" spans="1:9" x14ac:dyDescent="0.25">
      <c r="A53" s="1"/>
      <c r="B53" s="128" t="s">
        <v>146</v>
      </c>
      <c r="C53" s="129"/>
      <c r="D53" s="129"/>
      <c r="E53" s="129"/>
      <c r="F53" s="130"/>
      <c r="G53" s="58">
        <f>(G48-G49)*(1+'Fane 13. Nøgletal'!C15)</f>
        <v>14667385.19463489</v>
      </c>
      <c r="H53" s="14" t="s">
        <v>3</v>
      </c>
      <c r="I53" s="1"/>
    </row>
    <row r="54" spans="1:9" x14ac:dyDescent="0.25">
      <c r="A54" s="1"/>
      <c r="B54" s="128" t="s">
        <v>147</v>
      </c>
      <c r="C54" s="129"/>
      <c r="D54" s="129"/>
      <c r="E54" s="129"/>
      <c r="F54" s="130"/>
      <c r="G54" s="58">
        <f>(G53)*'Fane 13. Nøgletal'!C31</f>
        <v>293347.70389269781</v>
      </c>
      <c r="H54" s="14" t="s">
        <v>3</v>
      </c>
      <c r="I54" s="1"/>
    </row>
    <row r="55" spans="1:9" x14ac:dyDescent="0.25">
      <c r="A55" s="1"/>
      <c r="B55" s="68"/>
      <c r="C55" s="69"/>
      <c r="D55" s="69"/>
      <c r="E55" s="69"/>
      <c r="F55" s="69"/>
      <c r="G55" s="59"/>
      <c r="H55" s="19"/>
      <c r="I55" s="1"/>
    </row>
    <row r="56" spans="1:9" x14ac:dyDescent="0.25">
      <c r="A56" s="1"/>
      <c r="B56" s="1"/>
      <c r="C56" s="1"/>
      <c r="D56" s="1"/>
      <c r="E56" s="1"/>
      <c r="F56" s="1"/>
      <c r="G56" s="60"/>
      <c r="H56" s="1"/>
      <c r="I56" s="1"/>
    </row>
    <row r="57" spans="1:9" x14ac:dyDescent="0.25">
      <c r="A57" s="1"/>
      <c r="B57" s="121" t="s">
        <v>174</v>
      </c>
      <c r="C57" s="122"/>
      <c r="D57" s="122"/>
      <c r="E57" s="122"/>
      <c r="F57" s="122"/>
      <c r="G57" s="134"/>
      <c r="H57" s="123"/>
      <c r="I57" s="1"/>
    </row>
    <row r="58" spans="1:9" x14ac:dyDescent="0.25">
      <c r="A58" s="1"/>
      <c r="B58" s="128" t="s">
        <v>175</v>
      </c>
      <c r="C58" s="129"/>
      <c r="D58" s="129"/>
      <c r="E58" s="129"/>
      <c r="F58" s="130"/>
      <c r="G58" s="58">
        <f>(G53-G54)*(1+'Fane 13. Nøgletal'!C15)</f>
        <v>14885753.225412615</v>
      </c>
      <c r="H58" s="14" t="s">
        <v>3</v>
      </c>
      <c r="I58" s="1"/>
    </row>
    <row r="59" spans="1:9" x14ac:dyDescent="0.25">
      <c r="A59" s="1"/>
      <c r="B59" s="128" t="s">
        <v>176</v>
      </c>
      <c r="C59" s="129"/>
      <c r="D59" s="129"/>
      <c r="E59" s="129"/>
      <c r="F59" s="130"/>
      <c r="G59" s="58">
        <f>(G58)*'Fane 13. Nøgletal'!C31</f>
        <v>297715.06450825231</v>
      </c>
      <c r="H59" s="14" t="s">
        <v>3</v>
      </c>
      <c r="I59" s="1"/>
    </row>
    <row r="60" spans="1:9" x14ac:dyDescent="0.25">
      <c r="A60" s="1"/>
      <c r="B60" s="68"/>
      <c r="C60" s="69"/>
      <c r="D60" s="69"/>
      <c r="E60" s="69"/>
      <c r="F60" s="69"/>
      <c r="G60" s="41"/>
      <c r="H60" s="19"/>
      <c r="I60" s="1"/>
    </row>
    <row r="61" spans="1:9" x14ac:dyDescent="0.25">
      <c r="A61" s="1"/>
      <c r="B61" s="1"/>
      <c r="C61" s="1"/>
      <c r="D61" s="1"/>
      <c r="E61" s="1"/>
      <c r="F61" s="1"/>
      <c r="G61" s="42"/>
      <c r="H61" s="1"/>
      <c r="I61" s="1"/>
    </row>
    <row r="62" spans="1:9" x14ac:dyDescent="0.25">
      <c r="A62" s="1"/>
      <c r="B62" s="1"/>
      <c r="C62" s="1"/>
      <c r="D62" s="1"/>
      <c r="E62" s="1"/>
      <c r="F62" s="1"/>
      <c r="G62" s="42"/>
      <c r="H62" s="1"/>
      <c r="I62" s="1"/>
    </row>
    <row r="63" spans="1:9" x14ac:dyDescent="0.25">
      <c r="A63" s="1"/>
      <c r="B63" s="1"/>
      <c r="C63" s="1"/>
      <c r="D63" s="1"/>
      <c r="E63" s="1"/>
      <c r="F63" s="1"/>
      <c r="G63" s="42"/>
      <c r="H63" s="1"/>
      <c r="I63" s="1"/>
    </row>
    <row r="64" spans="1:9" x14ac:dyDescent="0.25">
      <c r="A64" s="1"/>
      <c r="B64" s="1"/>
      <c r="C64" s="1"/>
      <c r="D64" s="1"/>
      <c r="E64" s="1"/>
      <c r="F64" s="1"/>
      <c r="G64" s="42"/>
      <c r="H64" s="1"/>
      <c r="I64" s="1"/>
    </row>
    <row r="65" spans="1:9" x14ac:dyDescent="0.25">
      <c r="A65" s="1"/>
      <c r="B65" s="1"/>
      <c r="C65" s="1"/>
      <c r="D65" s="1"/>
      <c r="E65" s="1"/>
      <c r="F65" s="1"/>
      <c r="G65" s="42"/>
      <c r="H65" s="1"/>
      <c r="I65" s="1"/>
    </row>
    <row r="66" spans="1:9" x14ac:dyDescent="0.25">
      <c r="A66" s="1"/>
      <c r="B66" s="1"/>
      <c r="C66" s="1"/>
      <c r="D66" s="1"/>
      <c r="E66" s="1"/>
      <c r="F66" s="1"/>
      <c r="G66" s="42"/>
      <c r="H66" s="1"/>
      <c r="I66" s="1"/>
    </row>
  </sheetData>
  <sheetProtection algorithmName="SHA-512" hashValue="xTTuhPGMs9c34axJF+z6Qlpogrc6p5rSnFWBY3+0/x2di8mKbtketEscc9+DPq7dlj8qxKKoUJVr/2YBCKdBlw==" saltValue="v5mKsM5OtIHG/qcO4PmYZQ==" spinCount="100000" sheet="1" objects="1" scenarios="1"/>
  <mergeCells count="38">
    <mergeCell ref="B59:F59"/>
    <mergeCell ref="B52:H52"/>
    <mergeCell ref="B53:F53"/>
    <mergeCell ref="B54:F54"/>
    <mergeCell ref="B38:F38"/>
    <mergeCell ref="B47:H47"/>
    <mergeCell ref="B37:F37"/>
    <mergeCell ref="B57:H57"/>
    <mergeCell ref="B58:F58"/>
    <mergeCell ref="B48:F48"/>
    <mergeCell ref="B49:F49"/>
    <mergeCell ref="B41:H41"/>
    <mergeCell ref="B42:F42"/>
    <mergeCell ref="B44:F44"/>
    <mergeCell ref="B43:F43"/>
    <mergeCell ref="B26:F26"/>
    <mergeCell ref="B36:F36"/>
    <mergeCell ref="B31:F31"/>
    <mergeCell ref="B32:F32"/>
    <mergeCell ref="B23:H23"/>
    <mergeCell ref="B25:F25"/>
    <mergeCell ref="B29:H29"/>
    <mergeCell ref="B30:F30"/>
    <mergeCell ref="B35:H35"/>
    <mergeCell ref="B16:H16"/>
    <mergeCell ref="B1:H3"/>
    <mergeCell ref="B4:H4"/>
    <mergeCell ref="B5:F5"/>
    <mergeCell ref="B6:F6"/>
    <mergeCell ref="B10:F10"/>
    <mergeCell ref="B9:H9"/>
    <mergeCell ref="B12:F12"/>
    <mergeCell ref="B13:F13"/>
    <mergeCell ref="B17:F17"/>
    <mergeCell ref="B19:F19"/>
    <mergeCell ref="B18:F18"/>
    <mergeCell ref="B20:F20"/>
    <mergeCell ref="B24:F24"/>
  </mergeCells>
  <pageMargins left="0.70866141732283461" right="0.7086614173228346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dimension ref="A1:I66"/>
  <sheetViews>
    <sheetView showGridLines="0" view="pageLayout" zoomScaleNormal="120" workbookViewId="0"/>
  </sheetViews>
  <sheetFormatPr defaultColWidth="9" defaultRowHeight="15" x14ac:dyDescent="0.25"/>
  <cols>
    <col min="1" max="1" width="6.28515625" style="2" customWidth="1"/>
    <col min="2" max="5" width="9" style="2"/>
    <col min="6" max="6" width="18" style="2" customWidth="1"/>
    <col min="7" max="7" width="10.28515625" style="2" customWidth="1"/>
    <col min="8" max="8" width="2.85546875" style="2" bestFit="1" customWidth="1"/>
    <col min="9" max="9" width="6" style="2" customWidth="1"/>
    <col min="10" max="16384" width="9" style="2"/>
  </cols>
  <sheetData>
    <row r="1" spans="1:9" x14ac:dyDescent="0.25">
      <c r="A1" s="1"/>
      <c r="B1" s="135" t="s">
        <v>99</v>
      </c>
      <c r="C1" s="136"/>
      <c r="D1" s="136"/>
      <c r="E1" s="136"/>
      <c r="F1" s="136"/>
      <c r="G1" s="136"/>
      <c r="H1" s="136"/>
      <c r="I1" s="1"/>
    </row>
    <row r="2" spans="1:9" ht="19.899999999999999" customHeight="1" x14ac:dyDescent="0.25">
      <c r="A2" s="1"/>
      <c r="B2" s="136"/>
      <c r="C2" s="136"/>
      <c r="D2" s="136"/>
      <c r="E2" s="136"/>
      <c r="F2" s="136"/>
      <c r="G2" s="136"/>
      <c r="H2" s="136"/>
      <c r="I2" s="1"/>
    </row>
    <row r="3" spans="1:9" ht="15" customHeight="1" x14ac:dyDescent="0.25">
      <c r="A3" s="1"/>
      <c r="B3" s="137"/>
      <c r="C3" s="137"/>
      <c r="D3" s="137"/>
      <c r="E3" s="137"/>
      <c r="F3" s="137"/>
      <c r="G3" s="137"/>
      <c r="H3" s="137"/>
      <c r="I3" s="1"/>
    </row>
    <row r="4" spans="1:9" x14ac:dyDescent="0.25">
      <c r="A4" s="1"/>
      <c r="B4" s="121" t="s">
        <v>53</v>
      </c>
      <c r="C4" s="122"/>
      <c r="D4" s="122"/>
      <c r="E4" s="122"/>
      <c r="F4" s="122"/>
      <c r="G4" s="122"/>
      <c r="H4" s="123"/>
      <c r="I4" s="1"/>
    </row>
    <row r="5" spans="1:9" x14ac:dyDescent="0.25">
      <c r="A5" s="1"/>
      <c r="B5" s="128" t="s">
        <v>56</v>
      </c>
      <c r="C5" s="129"/>
      <c r="D5" s="129"/>
      <c r="E5" s="129"/>
      <c r="F5" s="130"/>
      <c r="G5" s="58">
        <v>10808244</v>
      </c>
      <c r="H5" s="14" t="s">
        <v>3</v>
      </c>
      <c r="I5" s="1"/>
    </row>
    <row r="6" spans="1:9" x14ac:dyDescent="0.25">
      <c r="A6" s="1"/>
      <c r="B6" s="128" t="s">
        <v>54</v>
      </c>
      <c r="C6" s="129"/>
      <c r="D6" s="129"/>
      <c r="E6" s="129"/>
      <c r="F6" s="130"/>
      <c r="G6" s="58">
        <f>G5*'Fane 13. Nøgletal'!C20</f>
        <v>98355.020400000009</v>
      </c>
      <c r="H6" s="14" t="s">
        <v>3</v>
      </c>
      <c r="I6" s="1"/>
    </row>
    <row r="7" spans="1:9" x14ac:dyDescent="0.25">
      <c r="A7" s="1"/>
      <c r="B7" s="68"/>
      <c r="C7" s="69"/>
      <c r="D7" s="69"/>
      <c r="E7" s="69"/>
      <c r="F7" s="69"/>
      <c r="G7" s="61"/>
      <c r="H7" s="19"/>
      <c r="I7" s="1"/>
    </row>
    <row r="8" spans="1:9" x14ac:dyDescent="0.25">
      <c r="A8" s="1"/>
      <c r="B8" s="1"/>
      <c r="C8" s="1"/>
      <c r="D8" s="1"/>
      <c r="E8" s="1"/>
      <c r="F8" s="1"/>
      <c r="G8" s="62"/>
      <c r="H8" s="1"/>
      <c r="I8" s="1"/>
    </row>
    <row r="9" spans="1:9" x14ac:dyDescent="0.25">
      <c r="A9" s="1"/>
      <c r="B9" s="121" t="s">
        <v>57</v>
      </c>
      <c r="C9" s="122"/>
      <c r="D9" s="122"/>
      <c r="E9" s="122"/>
      <c r="F9" s="122"/>
      <c r="G9" s="134"/>
      <c r="H9" s="123"/>
      <c r="I9" s="1"/>
    </row>
    <row r="10" spans="1:9" x14ac:dyDescent="0.25">
      <c r="A10" s="1"/>
      <c r="B10" s="128" t="s">
        <v>58</v>
      </c>
      <c r="C10" s="129"/>
      <c r="D10" s="129"/>
      <c r="E10" s="129"/>
      <c r="F10" s="130"/>
      <c r="G10" s="64">
        <f>(G5+G11-G6)*(1+'[4]Fane 12. Nøgletal'!C9)</f>
        <v>11025077.529840918</v>
      </c>
      <c r="H10" s="14" t="s">
        <v>3</v>
      </c>
      <c r="I10" s="1"/>
    </row>
    <row r="11" spans="1:9" x14ac:dyDescent="0.25">
      <c r="A11" s="1"/>
      <c r="B11" s="82" t="s">
        <v>255</v>
      </c>
      <c r="C11" s="78"/>
      <c r="D11" s="78"/>
      <c r="E11" s="78"/>
      <c r="F11" s="79"/>
      <c r="G11" s="64">
        <v>176926</v>
      </c>
      <c r="H11" s="14" t="s">
        <v>3</v>
      </c>
      <c r="I11" s="1"/>
    </row>
    <row r="12" spans="1:9" x14ac:dyDescent="0.25">
      <c r="A12" s="1"/>
      <c r="B12" s="131" t="s">
        <v>59</v>
      </c>
      <c r="C12" s="132"/>
      <c r="D12" s="132"/>
      <c r="E12" s="132"/>
      <c r="F12" s="133"/>
      <c r="G12" s="63">
        <v>0</v>
      </c>
      <c r="H12" s="14" t="s">
        <v>3</v>
      </c>
      <c r="I12" s="1"/>
    </row>
    <row r="13" spans="1:9" x14ac:dyDescent="0.25">
      <c r="A13" s="1"/>
      <c r="B13" s="128" t="s">
        <v>60</v>
      </c>
      <c r="C13" s="129"/>
      <c r="D13" s="129"/>
      <c r="E13" s="129"/>
      <c r="F13" s="130"/>
      <c r="G13" s="58">
        <f>G10*'Fane 13. Nøgletal'!C20+G12*'Fane 13. Nøgletal'!C21</f>
        <v>100328.20552155236</v>
      </c>
      <c r="H13" s="14" t="s">
        <v>3</v>
      </c>
      <c r="I13" s="1"/>
    </row>
    <row r="14" spans="1:9" x14ac:dyDescent="0.25">
      <c r="A14" s="1"/>
      <c r="B14" s="68"/>
      <c r="C14" s="69"/>
      <c r="D14" s="69"/>
      <c r="E14" s="69"/>
      <c r="F14" s="69"/>
      <c r="G14" s="61"/>
      <c r="H14" s="19"/>
      <c r="I14" s="1"/>
    </row>
    <row r="15" spans="1:9" x14ac:dyDescent="0.25">
      <c r="A15" s="1"/>
      <c r="B15" s="1"/>
      <c r="C15" s="1"/>
      <c r="D15" s="1"/>
      <c r="E15" s="1"/>
      <c r="F15" s="1"/>
      <c r="G15" s="62"/>
      <c r="H15" s="1"/>
      <c r="I15" s="1"/>
    </row>
    <row r="16" spans="1:9" x14ac:dyDescent="0.25">
      <c r="A16" s="1"/>
      <c r="B16" s="121" t="s">
        <v>61</v>
      </c>
      <c r="C16" s="122"/>
      <c r="D16" s="122"/>
      <c r="E16" s="122"/>
      <c r="F16" s="122"/>
      <c r="G16" s="134"/>
      <c r="H16" s="123"/>
      <c r="I16" s="1"/>
    </row>
    <row r="17" spans="1:9" x14ac:dyDescent="0.25">
      <c r="A17" s="1"/>
      <c r="B17" s="128" t="s">
        <v>62</v>
      </c>
      <c r="C17" s="129"/>
      <c r="D17" s="129"/>
      <c r="E17" s="129"/>
      <c r="F17" s="130"/>
      <c r="G17" s="58">
        <f>(G10+G12-G13)*(1+'Fane 13. Nøgletal'!C11)</f>
        <v>11109377.587900363</v>
      </c>
      <c r="H17" s="14" t="s">
        <v>3</v>
      </c>
      <c r="I17" s="1"/>
    </row>
    <row r="18" spans="1:9" x14ac:dyDescent="0.25">
      <c r="A18" s="1"/>
      <c r="B18" s="128" t="s">
        <v>109</v>
      </c>
      <c r="C18" s="129"/>
      <c r="D18" s="129"/>
      <c r="E18" s="129"/>
      <c r="F18" s="130"/>
      <c r="G18" s="58">
        <v>-20489.372276539998</v>
      </c>
      <c r="H18" s="14" t="s">
        <v>3</v>
      </c>
      <c r="I18" s="1"/>
    </row>
    <row r="19" spans="1:9" x14ac:dyDescent="0.25">
      <c r="A19" s="1"/>
      <c r="B19" s="131" t="s">
        <v>63</v>
      </c>
      <c r="C19" s="132"/>
      <c r="D19" s="132"/>
      <c r="E19" s="132"/>
      <c r="F19" s="133"/>
      <c r="G19" s="58">
        <v>0</v>
      </c>
      <c r="H19" s="14" t="s">
        <v>3</v>
      </c>
      <c r="I19" s="1"/>
    </row>
    <row r="20" spans="1:9" x14ac:dyDescent="0.25">
      <c r="A20" s="1"/>
      <c r="B20" s="128" t="s">
        <v>64</v>
      </c>
      <c r="C20" s="129"/>
      <c r="D20" s="129"/>
      <c r="E20" s="129"/>
      <c r="F20" s="130"/>
      <c r="G20" s="58">
        <f>(G17+G18+G19)*'Fane 13. Nøgletal'!C22</f>
        <v>96473.327475927246</v>
      </c>
      <c r="H20" s="14" t="s">
        <v>3</v>
      </c>
      <c r="I20" s="1"/>
    </row>
    <row r="21" spans="1:9" x14ac:dyDescent="0.25">
      <c r="A21" s="1"/>
      <c r="B21" s="68"/>
      <c r="C21" s="69"/>
      <c r="D21" s="69"/>
      <c r="E21" s="69"/>
      <c r="F21" s="69"/>
      <c r="G21" s="61"/>
      <c r="H21" s="19"/>
      <c r="I21" s="1"/>
    </row>
    <row r="22" spans="1:9" x14ac:dyDescent="0.25">
      <c r="A22" s="1"/>
      <c r="B22" s="1"/>
      <c r="C22" s="1"/>
      <c r="D22" s="1"/>
      <c r="E22" s="1"/>
      <c r="F22" s="1"/>
      <c r="G22" s="62"/>
      <c r="H22" s="1"/>
      <c r="I22" s="1"/>
    </row>
    <row r="23" spans="1:9" x14ac:dyDescent="0.25">
      <c r="A23" s="1"/>
      <c r="B23" s="121" t="s">
        <v>65</v>
      </c>
      <c r="C23" s="122"/>
      <c r="D23" s="122"/>
      <c r="E23" s="122"/>
      <c r="F23" s="122"/>
      <c r="G23" s="134"/>
      <c r="H23" s="123"/>
      <c r="I23" s="1"/>
    </row>
    <row r="24" spans="1:9" x14ac:dyDescent="0.25">
      <c r="A24" s="1"/>
      <c r="B24" s="128" t="s">
        <v>66</v>
      </c>
      <c r="C24" s="129"/>
      <c r="D24" s="129"/>
      <c r="E24" s="129"/>
      <c r="F24" s="130"/>
      <c r="G24" s="58">
        <f>(SUM(G17:G19)-G20)*(1+'Fane 13. Nøgletal'!C11)</f>
        <v>11178186.699757593</v>
      </c>
      <c r="H24" s="14" t="s">
        <v>3</v>
      </c>
      <c r="I24" s="1"/>
    </row>
    <row r="25" spans="1:9" x14ac:dyDescent="0.25">
      <c r="A25" s="1"/>
      <c r="B25" s="131" t="s">
        <v>67</v>
      </c>
      <c r="C25" s="132"/>
      <c r="D25" s="132"/>
      <c r="E25" s="132"/>
      <c r="F25" s="133"/>
      <c r="G25" s="58">
        <v>28320.708207330004</v>
      </c>
      <c r="H25" s="14" t="s">
        <v>3</v>
      </c>
      <c r="I25" s="1"/>
    </row>
    <row r="26" spans="1:9" x14ac:dyDescent="0.25">
      <c r="A26" s="1"/>
      <c r="B26" s="128" t="s">
        <v>68</v>
      </c>
      <c r="C26" s="129"/>
      <c r="D26" s="129"/>
      <c r="E26" s="129"/>
      <c r="F26" s="130"/>
      <c r="G26" s="58">
        <f>G24*'Fane 13. Nøgletal'!C22+G25*'Fane 13. Nøgletal'!C23</f>
        <v>98054.532400979224</v>
      </c>
      <c r="H26" s="14" t="s">
        <v>3</v>
      </c>
      <c r="I26" s="1"/>
    </row>
    <row r="27" spans="1:9" x14ac:dyDescent="0.25">
      <c r="A27" s="1"/>
      <c r="B27" s="68"/>
      <c r="C27" s="69"/>
      <c r="D27" s="69"/>
      <c r="E27" s="69"/>
      <c r="F27" s="69"/>
      <c r="G27" s="61"/>
      <c r="H27" s="19"/>
      <c r="I27" s="1"/>
    </row>
    <row r="28" spans="1:9" x14ac:dyDescent="0.25">
      <c r="A28" s="1"/>
      <c r="B28" s="1"/>
      <c r="C28" s="1"/>
      <c r="D28" s="1"/>
      <c r="E28" s="1"/>
      <c r="F28" s="1"/>
      <c r="G28" s="62"/>
      <c r="H28" s="1"/>
      <c r="I28" s="1"/>
    </row>
    <row r="29" spans="1:9" x14ac:dyDescent="0.25">
      <c r="A29" s="1"/>
      <c r="B29" s="121" t="s">
        <v>130</v>
      </c>
      <c r="C29" s="122"/>
      <c r="D29" s="122"/>
      <c r="E29" s="122"/>
      <c r="F29" s="122"/>
      <c r="G29" s="134"/>
      <c r="H29" s="123"/>
      <c r="I29" s="1"/>
    </row>
    <row r="30" spans="1:9" x14ac:dyDescent="0.25">
      <c r="A30" s="1"/>
      <c r="B30" s="128" t="s">
        <v>69</v>
      </c>
      <c r="C30" s="129"/>
      <c r="D30" s="129"/>
      <c r="E30" s="129"/>
      <c r="F30" s="130"/>
      <c r="G30" s="58">
        <f>(G24+G25-G26)*(1+'Fane 13. Nøgletal'!C13)</f>
        <v>11243976.000645824</v>
      </c>
      <c r="H30" s="14" t="s">
        <v>3</v>
      </c>
      <c r="I30" s="1"/>
    </row>
    <row r="31" spans="1:9" x14ac:dyDescent="0.25">
      <c r="A31" s="1"/>
      <c r="B31" s="128" t="s">
        <v>123</v>
      </c>
      <c r="C31" s="129"/>
      <c r="D31" s="129"/>
      <c r="E31" s="129"/>
      <c r="F31" s="130"/>
      <c r="G31" s="58">
        <v>1707421.91189724</v>
      </c>
      <c r="H31" s="14" t="s">
        <v>3</v>
      </c>
      <c r="I31" s="1"/>
    </row>
    <row r="32" spans="1:9" x14ac:dyDescent="0.25">
      <c r="A32" s="1"/>
      <c r="B32" s="128" t="s">
        <v>131</v>
      </c>
      <c r="C32" s="129"/>
      <c r="D32" s="129"/>
      <c r="E32" s="129"/>
      <c r="F32" s="130"/>
      <c r="G32" s="58">
        <f>(G30+G31)*'Fane 13. Nøgletal'!C24</f>
        <v>356163.44259493425</v>
      </c>
      <c r="H32" s="14" t="s">
        <v>3</v>
      </c>
      <c r="I32" s="1"/>
    </row>
    <row r="33" spans="1:9" x14ac:dyDescent="0.25">
      <c r="A33" s="1"/>
      <c r="B33" s="68"/>
      <c r="C33" s="69"/>
      <c r="D33" s="69"/>
      <c r="E33" s="69"/>
      <c r="F33" s="69"/>
      <c r="G33" s="61"/>
      <c r="H33" s="19"/>
      <c r="I33" s="1"/>
    </row>
    <row r="34" spans="1:9" x14ac:dyDescent="0.25">
      <c r="A34" s="1"/>
      <c r="B34" s="1"/>
      <c r="C34" s="1"/>
      <c r="D34" s="1"/>
      <c r="E34" s="1"/>
      <c r="F34" s="1"/>
      <c r="G34" s="62"/>
      <c r="H34" s="1"/>
      <c r="I34" s="1"/>
    </row>
    <row r="35" spans="1:9" x14ac:dyDescent="0.25">
      <c r="A35" s="1"/>
      <c r="B35" s="121" t="s">
        <v>135</v>
      </c>
      <c r="C35" s="122"/>
      <c r="D35" s="122"/>
      <c r="E35" s="122"/>
      <c r="F35" s="122"/>
      <c r="G35" s="134"/>
      <c r="H35" s="123"/>
      <c r="I35" s="1"/>
    </row>
    <row r="36" spans="1:9" x14ac:dyDescent="0.25">
      <c r="A36" s="1"/>
      <c r="B36" s="128" t="s">
        <v>72</v>
      </c>
      <c r="C36" s="129"/>
      <c r="D36" s="129"/>
      <c r="E36" s="129"/>
      <c r="F36" s="130"/>
      <c r="G36" s="58">
        <f>(G30+G31-G32)*(1+'Fane 13. Nøgletal'!C13)</f>
        <v>12748896.330481498</v>
      </c>
      <c r="H36" s="14" t="s">
        <v>3</v>
      </c>
      <c r="I36" s="1"/>
    </row>
    <row r="37" spans="1:9" x14ac:dyDescent="0.25">
      <c r="A37" s="1"/>
      <c r="B37" s="128" t="s">
        <v>141</v>
      </c>
      <c r="C37" s="129"/>
      <c r="D37" s="129"/>
      <c r="E37" s="129"/>
      <c r="F37" s="130"/>
      <c r="G37" s="58">
        <f>SUM('Fane 3. Omkostninger i ØR2022'!E11)*(1+'Fane 13. Nøgletal'!C14)</f>
        <v>33443.640209360005</v>
      </c>
      <c r="H37" s="14" t="s">
        <v>3</v>
      </c>
      <c r="I37" s="1"/>
    </row>
    <row r="38" spans="1:9" x14ac:dyDescent="0.25">
      <c r="A38" s="1"/>
      <c r="B38" s="128" t="s">
        <v>136</v>
      </c>
      <c r="C38" s="129"/>
      <c r="D38" s="129"/>
      <c r="E38" s="129"/>
      <c r="F38" s="130"/>
      <c r="G38" s="58">
        <f>G36*'Fane 13. Nøgletal'!C24+G37*'Fane 13. Nøgletal'!C25</f>
        <v>351089.6149633397</v>
      </c>
      <c r="H38" s="14" t="s">
        <v>3</v>
      </c>
      <c r="I38" s="1"/>
    </row>
    <row r="39" spans="1:9" x14ac:dyDescent="0.25">
      <c r="A39" s="1"/>
      <c r="B39" s="68"/>
      <c r="C39" s="69"/>
      <c r="D39" s="69"/>
      <c r="E39" s="69"/>
      <c r="F39" s="69"/>
      <c r="G39" s="61"/>
      <c r="H39" s="19"/>
      <c r="I39" s="1"/>
    </row>
    <row r="40" spans="1:9" x14ac:dyDescent="0.25">
      <c r="A40" s="1"/>
      <c r="B40" s="1"/>
      <c r="C40" s="1"/>
      <c r="D40" s="1"/>
      <c r="E40" s="1"/>
      <c r="F40" s="1"/>
      <c r="G40" s="62"/>
      <c r="H40" s="1"/>
      <c r="I40" s="1"/>
    </row>
    <row r="41" spans="1:9" x14ac:dyDescent="0.25">
      <c r="A41" s="1"/>
      <c r="B41" s="121" t="s">
        <v>200</v>
      </c>
      <c r="C41" s="122"/>
      <c r="D41" s="122"/>
      <c r="E41" s="122"/>
      <c r="F41" s="122"/>
      <c r="G41" s="134"/>
      <c r="H41" s="123"/>
      <c r="I41" s="1"/>
    </row>
    <row r="42" spans="1:9" x14ac:dyDescent="0.25">
      <c r="A42" s="1"/>
      <c r="B42" s="128" t="s">
        <v>71</v>
      </c>
      <c r="C42" s="129"/>
      <c r="D42" s="129"/>
      <c r="E42" s="129"/>
      <c r="F42" s="130"/>
      <c r="G42" s="58">
        <f>(G36+G37-G38)*(1+'Fane 13. Nøgletal'!C15)</f>
        <v>12873802.868391419</v>
      </c>
      <c r="H42" s="14" t="s">
        <v>3</v>
      </c>
      <c r="I42" s="1"/>
    </row>
    <row r="43" spans="1:9" x14ac:dyDescent="0.25">
      <c r="A43" s="1"/>
      <c r="B43" s="128" t="s">
        <v>211</v>
      </c>
      <c r="C43" s="129"/>
      <c r="D43" s="129"/>
      <c r="E43" s="129"/>
      <c r="F43" s="130"/>
      <c r="G43" s="63">
        <f>SUM('Fane 2.1. Økonomisk ramme 2023'!C10+'Fane 2.1. Økonomisk ramme 2023'!C12+'Fane 2.1. Økonomisk ramme 2023'!C14)*(1+'Fane 13. Nøgletal'!C15)</f>
        <v>34568.840414880004</v>
      </c>
      <c r="H43" s="14" t="s">
        <v>3</v>
      </c>
      <c r="I43" s="1"/>
    </row>
    <row r="44" spans="1:9" x14ac:dyDescent="0.25">
      <c r="A44" s="1"/>
      <c r="B44" s="128" t="s">
        <v>70</v>
      </c>
      <c r="C44" s="129"/>
      <c r="D44" s="129"/>
      <c r="E44" s="129"/>
      <c r="F44" s="130"/>
      <c r="G44" s="58">
        <f>(G42+G43)*'Fane 13. Nøgletal'!C26</f>
        <v>0</v>
      </c>
      <c r="H44" s="14" t="s">
        <v>3</v>
      </c>
      <c r="I44" s="1"/>
    </row>
    <row r="45" spans="1:9" x14ac:dyDescent="0.25">
      <c r="A45" s="1"/>
      <c r="B45" s="68"/>
      <c r="C45" s="69"/>
      <c r="D45" s="69"/>
      <c r="E45" s="69"/>
      <c r="F45" s="69"/>
      <c r="G45" s="61"/>
      <c r="H45" s="19"/>
      <c r="I45" s="1"/>
    </row>
    <row r="46" spans="1:9" ht="12" customHeight="1" x14ac:dyDescent="0.25">
      <c r="A46" s="1"/>
      <c r="B46" s="1"/>
      <c r="C46" s="1"/>
      <c r="D46" s="1"/>
      <c r="E46" s="1"/>
      <c r="F46" s="1"/>
      <c r="G46" s="62"/>
      <c r="H46" s="1"/>
      <c r="I46" s="1"/>
    </row>
    <row r="47" spans="1:9" x14ac:dyDescent="0.25">
      <c r="A47" s="1"/>
      <c r="B47" s="121" t="s">
        <v>201</v>
      </c>
      <c r="C47" s="122"/>
      <c r="D47" s="122"/>
      <c r="E47" s="122"/>
      <c r="F47" s="122"/>
      <c r="G47" s="134"/>
      <c r="H47" s="123"/>
      <c r="I47" s="1"/>
    </row>
    <row r="48" spans="1:9" x14ac:dyDescent="0.25">
      <c r="A48" s="1"/>
      <c r="B48" s="128" t="s">
        <v>124</v>
      </c>
      <c r="C48" s="129"/>
      <c r="D48" s="129"/>
      <c r="E48" s="129"/>
      <c r="F48" s="130"/>
      <c r="G48" s="58">
        <f>(G42+G43-G44)*(1+'Fane 13. Nøgletal'!C15)</f>
        <v>13367909.741639804</v>
      </c>
      <c r="H48" s="14" t="s">
        <v>3</v>
      </c>
      <c r="I48" s="1"/>
    </row>
    <row r="49" spans="1:9" x14ac:dyDescent="0.25">
      <c r="A49" s="1"/>
      <c r="B49" s="128" t="s">
        <v>125</v>
      </c>
      <c r="C49" s="129"/>
      <c r="D49" s="129"/>
      <c r="E49" s="129"/>
      <c r="F49" s="130"/>
      <c r="G49" s="58">
        <f>(G48)*'Fane 13. Nøgletal'!C26</f>
        <v>0</v>
      </c>
      <c r="H49" s="14" t="s">
        <v>3</v>
      </c>
      <c r="I49" s="1"/>
    </row>
    <row r="50" spans="1:9" x14ac:dyDescent="0.25">
      <c r="A50" s="1"/>
      <c r="B50" s="68"/>
      <c r="C50" s="69"/>
      <c r="D50" s="69"/>
      <c r="E50" s="69"/>
      <c r="F50" s="69"/>
      <c r="G50" s="61"/>
      <c r="H50" s="19"/>
      <c r="I50" s="1"/>
    </row>
    <row r="51" spans="1:9" x14ac:dyDescent="0.25">
      <c r="A51" s="1"/>
      <c r="B51" s="1"/>
      <c r="C51" s="1"/>
      <c r="D51" s="1"/>
      <c r="E51" s="1"/>
      <c r="F51" s="1"/>
      <c r="G51" s="62"/>
      <c r="H51" s="1"/>
      <c r="I51" s="1"/>
    </row>
    <row r="52" spans="1:9" x14ac:dyDescent="0.25">
      <c r="A52" s="1"/>
      <c r="B52" s="121" t="s">
        <v>142</v>
      </c>
      <c r="C52" s="122"/>
      <c r="D52" s="122"/>
      <c r="E52" s="122"/>
      <c r="F52" s="122"/>
      <c r="G52" s="134"/>
      <c r="H52" s="123"/>
      <c r="I52" s="1"/>
    </row>
    <row r="53" spans="1:9" x14ac:dyDescent="0.25">
      <c r="A53" s="1"/>
      <c r="B53" s="128" t="s">
        <v>143</v>
      </c>
      <c r="C53" s="129"/>
      <c r="D53" s="129"/>
      <c r="E53" s="129"/>
      <c r="F53" s="130"/>
      <c r="G53" s="58">
        <f>(G48-G49)*(1+'Fane 13. Nøgletal'!C15)</f>
        <v>13843807.328442182</v>
      </c>
      <c r="H53" s="14" t="s">
        <v>3</v>
      </c>
      <c r="I53" s="1"/>
    </row>
    <row r="54" spans="1:9" x14ac:dyDescent="0.25">
      <c r="A54" s="1"/>
      <c r="B54" s="128" t="s">
        <v>144</v>
      </c>
      <c r="C54" s="129"/>
      <c r="D54" s="129"/>
      <c r="E54" s="129"/>
      <c r="F54" s="130"/>
      <c r="G54" s="58">
        <f>(G53)*'Fane 13. Nøgletal'!C26</f>
        <v>0</v>
      </c>
      <c r="H54" s="14" t="s">
        <v>3</v>
      </c>
      <c r="I54" s="1"/>
    </row>
    <row r="55" spans="1:9" x14ac:dyDescent="0.25">
      <c r="A55" s="1"/>
      <c r="B55" s="68"/>
      <c r="C55" s="69"/>
      <c r="D55" s="69"/>
      <c r="E55" s="69"/>
      <c r="F55" s="69"/>
      <c r="G55" s="61"/>
      <c r="H55" s="19"/>
      <c r="I55" s="1"/>
    </row>
    <row r="56" spans="1:9" x14ac:dyDescent="0.25">
      <c r="A56" s="1"/>
      <c r="B56" s="1"/>
      <c r="C56" s="1"/>
      <c r="D56" s="1"/>
      <c r="E56" s="1"/>
      <c r="F56" s="1"/>
      <c r="G56" s="62"/>
      <c r="H56" s="1"/>
      <c r="I56" s="1"/>
    </row>
    <row r="57" spans="1:9" x14ac:dyDescent="0.25">
      <c r="A57" s="1"/>
      <c r="B57" s="121" t="s">
        <v>177</v>
      </c>
      <c r="C57" s="122"/>
      <c r="D57" s="122"/>
      <c r="E57" s="122"/>
      <c r="F57" s="122"/>
      <c r="G57" s="134"/>
      <c r="H57" s="123"/>
      <c r="I57" s="1"/>
    </row>
    <row r="58" spans="1:9" x14ac:dyDescent="0.25">
      <c r="A58" s="1"/>
      <c r="B58" s="128" t="s">
        <v>178</v>
      </c>
      <c r="C58" s="129"/>
      <c r="D58" s="129"/>
      <c r="E58" s="129"/>
      <c r="F58" s="130"/>
      <c r="G58" s="58">
        <f>(G53-G54)*(1+'Fane 13. Nøgletal'!C15)</f>
        <v>14336646.869334726</v>
      </c>
      <c r="H58" s="14" t="s">
        <v>3</v>
      </c>
      <c r="I58" s="1"/>
    </row>
    <row r="59" spans="1:9" x14ac:dyDescent="0.25">
      <c r="A59" s="1"/>
      <c r="B59" s="128" t="s">
        <v>179</v>
      </c>
      <c r="C59" s="129"/>
      <c r="D59" s="129"/>
      <c r="E59" s="129"/>
      <c r="F59" s="130"/>
      <c r="G59" s="58">
        <f>(G58)*'Fane 13. Nøgletal'!C26</f>
        <v>0</v>
      </c>
      <c r="H59" s="14" t="s">
        <v>3</v>
      </c>
      <c r="I59" s="1"/>
    </row>
    <row r="60" spans="1:9" x14ac:dyDescent="0.25">
      <c r="A60" s="1"/>
      <c r="B60" s="68"/>
      <c r="C60" s="69"/>
      <c r="D60" s="69"/>
      <c r="E60" s="69"/>
      <c r="F60" s="69"/>
      <c r="G60" s="69"/>
      <c r="H60" s="19"/>
      <c r="I60" s="1"/>
    </row>
    <row r="61" spans="1:9" x14ac:dyDescent="0.25">
      <c r="A61" s="1"/>
      <c r="B61" s="1"/>
      <c r="C61" s="1"/>
      <c r="D61" s="1"/>
      <c r="E61" s="1"/>
      <c r="F61" s="1"/>
      <c r="G61" s="1"/>
      <c r="H61" s="1"/>
      <c r="I61" s="1"/>
    </row>
    <row r="62" spans="1:9" x14ac:dyDescent="0.25">
      <c r="A62" s="1"/>
      <c r="B62" s="1"/>
      <c r="C62" s="1"/>
      <c r="D62" s="1"/>
      <c r="E62" s="1"/>
      <c r="F62" s="1"/>
      <c r="G62" s="1"/>
      <c r="H62" s="1"/>
      <c r="I62" s="1"/>
    </row>
    <row r="63" spans="1:9" x14ac:dyDescent="0.25">
      <c r="A63" s="1"/>
      <c r="B63" s="1"/>
      <c r="C63" s="1"/>
      <c r="D63" s="1"/>
      <c r="E63" s="1"/>
      <c r="F63" s="1"/>
      <c r="G63" s="1"/>
      <c r="H63" s="1"/>
      <c r="I63" s="1"/>
    </row>
    <row r="64" spans="1:9" x14ac:dyDescent="0.25">
      <c r="A64" s="1"/>
      <c r="B64" s="1"/>
      <c r="C64" s="1"/>
      <c r="D64" s="1"/>
      <c r="E64" s="1"/>
      <c r="F64" s="1"/>
      <c r="G64" s="1"/>
      <c r="H64" s="1"/>
      <c r="I64" s="1"/>
    </row>
    <row r="65" spans="1:9" x14ac:dyDescent="0.25">
      <c r="A65" s="1"/>
      <c r="B65" s="1"/>
      <c r="C65" s="1"/>
      <c r="D65" s="1"/>
      <c r="E65" s="1"/>
      <c r="F65" s="1"/>
      <c r="G65" s="1"/>
      <c r="H65" s="1"/>
      <c r="I65" s="1"/>
    </row>
    <row r="66" spans="1:9" x14ac:dyDescent="0.25">
      <c r="A66" s="1"/>
      <c r="B66" s="1"/>
      <c r="C66" s="1"/>
      <c r="D66" s="1"/>
      <c r="E66" s="1"/>
      <c r="F66" s="1"/>
      <c r="G66" s="1"/>
      <c r="H66" s="1"/>
      <c r="I66" s="1"/>
    </row>
  </sheetData>
  <sheetProtection algorithmName="SHA-512" hashValue="w1ltJu+saBqLp8m3XRzX6FKJg8yC2bYLtk2Lqxu+4uMSi2eeyGB/5v/MLlQu/4bFIc2p8xaLm+IHomB3JWtB1Q==" saltValue="IfpT3nsrvFCLJfaxaB0+YQ==" spinCount="100000" sheet="1" objects="1" scenarios="1"/>
  <mergeCells count="38">
    <mergeCell ref="B57:H57"/>
    <mergeCell ref="B58:F58"/>
    <mergeCell ref="B59:F59"/>
    <mergeCell ref="B1:H3"/>
    <mergeCell ref="B52:H52"/>
    <mergeCell ref="B53:F53"/>
    <mergeCell ref="B54:F54"/>
    <mergeCell ref="B36:F36"/>
    <mergeCell ref="B44:F44"/>
    <mergeCell ref="B20:F20"/>
    <mergeCell ref="B4:H4"/>
    <mergeCell ref="B5:F5"/>
    <mergeCell ref="B6:F6"/>
    <mergeCell ref="B9:H9"/>
    <mergeCell ref="B10:F10"/>
    <mergeCell ref="B12:F12"/>
    <mergeCell ref="B29:H29"/>
    <mergeCell ref="B30:F30"/>
    <mergeCell ref="B32:F32"/>
    <mergeCell ref="B35:H35"/>
    <mergeCell ref="B13:F13"/>
    <mergeCell ref="B16:H16"/>
    <mergeCell ref="B17:F17"/>
    <mergeCell ref="B19:F19"/>
    <mergeCell ref="B31:F31"/>
    <mergeCell ref="B18:F18"/>
    <mergeCell ref="B23:H23"/>
    <mergeCell ref="B24:F24"/>
    <mergeCell ref="B25:F25"/>
    <mergeCell ref="B26:F26"/>
    <mergeCell ref="B48:F48"/>
    <mergeCell ref="B49:F49"/>
    <mergeCell ref="B37:F37"/>
    <mergeCell ref="B43:F43"/>
    <mergeCell ref="B42:F42"/>
    <mergeCell ref="B41:H41"/>
    <mergeCell ref="B38:F38"/>
    <mergeCell ref="B47:H47"/>
  </mergeCells>
  <pageMargins left="0.70866141732283461" right="0.70866141732283461" top="0.74803149606299213" bottom="0.74803149606299213" header="0.31496062992125984" footer="0.31496062992125984"/>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H47"/>
  <sheetViews>
    <sheetView showGridLines="0" view="pageLayout" zoomScaleNormal="100" workbookViewId="0"/>
  </sheetViews>
  <sheetFormatPr defaultColWidth="9" defaultRowHeight="15" x14ac:dyDescent="0.25"/>
  <cols>
    <col min="1" max="1" width="7.85546875" style="2" customWidth="1"/>
    <col min="2" max="5" width="9" style="2"/>
    <col min="6" max="6" width="19.85546875" style="2" customWidth="1"/>
    <col min="7" max="7" width="10.28515625" style="2" customWidth="1"/>
    <col min="8" max="8" width="7.85546875" style="2" customWidth="1"/>
    <col min="9" max="16384" width="9" style="2"/>
  </cols>
  <sheetData>
    <row r="1" spans="1:8" x14ac:dyDescent="0.25">
      <c r="A1" s="1"/>
      <c r="B1" s="1"/>
      <c r="C1" s="1"/>
      <c r="D1" s="1"/>
      <c r="E1" s="1"/>
      <c r="F1" s="1"/>
      <c r="G1" s="1"/>
      <c r="H1" s="1"/>
    </row>
    <row r="2" spans="1:8" x14ac:dyDescent="0.25">
      <c r="A2" s="1"/>
      <c r="B2" s="1"/>
      <c r="C2" s="1"/>
      <c r="D2" s="1"/>
      <c r="E2" s="1"/>
      <c r="F2" s="1"/>
      <c r="G2" s="1"/>
      <c r="H2" s="1"/>
    </row>
    <row r="3" spans="1:8" ht="15" customHeight="1" x14ac:dyDescent="0.25">
      <c r="A3" s="1"/>
      <c r="B3" s="102" t="s">
        <v>82</v>
      </c>
      <c r="C3" s="102"/>
      <c r="D3" s="102"/>
      <c r="E3" s="102"/>
      <c r="F3" s="102"/>
      <c r="G3" s="102"/>
      <c r="H3" s="1"/>
    </row>
    <row r="4" spans="1:8" ht="15" customHeight="1" x14ac:dyDescent="0.25">
      <c r="A4" s="1"/>
      <c r="B4" s="102"/>
      <c r="C4" s="102"/>
      <c r="D4" s="102"/>
      <c r="E4" s="102"/>
      <c r="F4" s="102"/>
      <c r="G4" s="102"/>
      <c r="H4" s="1"/>
    </row>
    <row r="5" spans="1:8" x14ac:dyDescent="0.25">
      <c r="A5" s="1"/>
      <c r="B5" s="1"/>
      <c r="C5" s="1"/>
      <c r="D5" s="1"/>
      <c r="E5" s="1"/>
      <c r="F5" s="1"/>
      <c r="G5" s="1"/>
      <c r="H5" s="1"/>
    </row>
    <row r="6" spans="1:8" x14ac:dyDescent="0.25">
      <c r="A6" s="1"/>
      <c r="B6" s="1"/>
      <c r="C6" s="1"/>
      <c r="D6" s="1"/>
      <c r="E6" s="1"/>
      <c r="F6" s="1"/>
      <c r="G6" s="1"/>
      <c r="H6" s="1"/>
    </row>
    <row r="7" spans="1:8" x14ac:dyDescent="0.25">
      <c r="A7" s="1"/>
      <c r="B7" s="1"/>
      <c r="C7" s="1"/>
      <c r="D7" s="1"/>
      <c r="E7" s="1"/>
      <c r="F7" s="1"/>
      <c r="G7" s="1"/>
      <c r="H7" s="1"/>
    </row>
    <row r="8" spans="1:8" x14ac:dyDescent="0.25">
      <c r="A8" s="1"/>
      <c r="B8" s="121" t="s">
        <v>9</v>
      </c>
      <c r="C8" s="122"/>
      <c r="D8" s="122"/>
      <c r="E8" s="122"/>
      <c r="F8" s="122"/>
      <c r="G8" s="122"/>
      <c r="H8" s="1"/>
    </row>
    <row r="9" spans="1:8" x14ac:dyDescent="0.25">
      <c r="A9" s="1"/>
      <c r="B9" s="77" t="s">
        <v>180</v>
      </c>
      <c r="C9" s="78"/>
      <c r="D9" s="78"/>
      <c r="E9" s="78"/>
      <c r="F9" s="79"/>
      <c r="G9" s="28">
        <v>0</v>
      </c>
      <c r="H9" s="1"/>
    </row>
    <row r="10" spans="1:8" x14ac:dyDescent="0.25">
      <c r="A10" s="1"/>
      <c r="B10" s="68"/>
      <c r="C10" s="69"/>
      <c r="D10" s="69"/>
      <c r="E10" s="69"/>
      <c r="F10" s="69"/>
      <c r="G10" s="69"/>
      <c r="H10" s="1"/>
    </row>
    <row r="11" spans="1:8" x14ac:dyDescent="0.25">
      <c r="A11" s="1"/>
      <c r="B11" s="1"/>
      <c r="C11" s="1"/>
      <c r="D11" s="1"/>
      <c r="E11" s="1"/>
      <c r="F11" s="1"/>
      <c r="G11" s="1"/>
      <c r="H11" s="1"/>
    </row>
    <row r="12" spans="1:8" ht="31.5" customHeight="1" x14ac:dyDescent="0.25">
      <c r="A12" s="1"/>
      <c r="B12" s="138" t="s">
        <v>202</v>
      </c>
      <c r="C12" s="138"/>
      <c r="D12" s="138"/>
      <c r="E12" s="138"/>
      <c r="F12" s="138"/>
      <c r="G12" s="138"/>
      <c r="H12" s="1"/>
    </row>
    <row r="13" spans="1:8" x14ac:dyDescent="0.25">
      <c r="A13" s="1"/>
      <c r="B13" s="1"/>
      <c r="C13" s="1"/>
      <c r="D13" s="1"/>
      <c r="E13" s="1"/>
      <c r="F13" s="1"/>
      <c r="G13" s="1"/>
      <c r="H13" s="1"/>
    </row>
    <row r="14" spans="1:8" x14ac:dyDescent="0.25">
      <c r="A14" s="1"/>
      <c r="B14" s="1"/>
      <c r="C14" s="1"/>
      <c r="D14" s="1"/>
      <c r="E14" s="1"/>
      <c r="F14" s="1"/>
      <c r="G14" s="1"/>
      <c r="H14" s="1"/>
    </row>
    <row r="15" spans="1:8" x14ac:dyDescent="0.25">
      <c r="A15" s="1"/>
      <c r="B15" s="1"/>
      <c r="C15" s="1"/>
      <c r="D15" s="1"/>
      <c r="E15" s="1"/>
      <c r="F15" s="1"/>
      <c r="G15" s="1"/>
      <c r="H15" s="1"/>
    </row>
    <row r="16" spans="1:8"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row r="41" spans="1:8" x14ac:dyDescent="0.25">
      <c r="A41" s="1"/>
      <c r="B41" s="1"/>
      <c r="C41" s="1"/>
      <c r="D41" s="1"/>
      <c r="E41" s="1"/>
      <c r="F41" s="1"/>
      <c r="G41" s="1"/>
      <c r="H41" s="1"/>
    </row>
    <row r="42" spans="1:8" x14ac:dyDescent="0.25">
      <c r="A42" s="1"/>
      <c r="B42" s="1"/>
      <c r="C42" s="1"/>
      <c r="D42" s="1"/>
      <c r="E42" s="1"/>
      <c r="F42" s="1"/>
      <c r="G42" s="1"/>
      <c r="H42" s="1"/>
    </row>
    <row r="43" spans="1:8" x14ac:dyDescent="0.25">
      <c r="A43" s="1"/>
      <c r="B43" s="1"/>
      <c r="C43" s="1"/>
      <c r="D43" s="1"/>
      <c r="E43" s="1"/>
      <c r="F43" s="1"/>
      <c r="G43" s="1"/>
      <c r="H43" s="1"/>
    </row>
    <row r="44" spans="1:8" x14ac:dyDescent="0.25">
      <c r="A44" s="1"/>
      <c r="B44" s="1"/>
      <c r="C44" s="1"/>
      <c r="D44" s="1"/>
      <c r="E44" s="1"/>
      <c r="F44" s="1"/>
      <c r="G44" s="1"/>
      <c r="H44" s="1"/>
    </row>
    <row r="45" spans="1:8" x14ac:dyDescent="0.25">
      <c r="A45" s="1"/>
      <c r="B45" s="1"/>
      <c r="C45" s="1"/>
      <c r="D45" s="1"/>
      <c r="E45" s="1"/>
      <c r="F45" s="1"/>
      <c r="G45" s="1"/>
      <c r="H45" s="1"/>
    </row>
    <row r="46" spans="1:8" x14ac:dyDescent="0.25">
      <c r="A46" s="1"/>
      <c r="B46" s="1"/>
      <c r="C46" s="1"/>
      <c r="D46" s="1"/>
      <c r="E46" s="1"/>
      <c r="F46" s="1"/>
      <c r="G46" s="1"/>
      <c r="H46" s="1"/>
    </row>
    <row r="47" spans="1:8" x14ac:dyDescent="0.25">
      <c r="A47" s="1"/>
      <c r="B47" s="1"/>
      <c r="C47" s="1"/>
      <c r="D47" s="1"/>
      <c r="E47" s="1"/>
      <c r="F47" s="1"/>
      <c r="G47" s="1"/>
      <c r="H47" s="1"/>
    </row>
  </sheetData>
  <sheetProtection algorithmName="SHA-512" hashValue="CV5jpz5YAvaLsl/UEJBjV61DGQp9HWD4Gn4IH2X0g4vF8M8Jl32M6x/Fxi+ZCMv8jFlQsCZOWrbDpadOF8NvuQ==" saltValue="YUAIwdEht9QT+TRkxTENuQ==" spinCount="100000" sheet="1" objects="1" scenarios="1"/>
  <mergeCells count="3">
    <mergeCell ref="B12:G12"/>
    <mergeCell ref="B3:G4"/>
    <mergeCell ref="B8:G8"/>
  </mergeCells>
  <pageMargins left="0.70866141732283461" right="0.70866141732283461" top="0.74803149606299213" bottom="0.74803149606299213"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18</vt:i4>
      </vt:variant>
    </vt:vector>
  </HeadingPairs>
  <TitlesOfParts>
    <vt:vector size="18" baseType="lpstr">
      <vt:lpstr>1. Forside</vt:lpstr>
      <vt:lpstr>Fane 2.1. Økonomisk ramme 2023</vt:lpstr>
      <vt:lpstr>Fane 2.2. Økonomisk ramme 2024</vt:lpstr>
      <vt:lpstr>Fane 2.3. Økonomisk ramme 2025</vt:lpstr>
      <vt:lpstr>Fane 2.4. Økonomisk ramme 2026</vt:lpstr>
      <vt:lpstr>Fane 3. Omkostninger i ØR2022</vt:lpstr>
      <vt:lpstr>Fane 4.1. Gen. krav - drift</vt:lpstr>
      <vt:lpstr>Fane 4.2. Gen. krav - anlæg</vt:lpstr>
      <vt:lpstr>Fane 5. Individuelt eff. krav</vt:lpstr>
      <vt:lpstr>Fane 6. Ikke-påvirkelige omk.</vt:lpstr>
      <vt:lpstr>Fane 7. Kontrol af ØR2021</vt:lpstr>
      <vt:lpstr>Fane 8. Skattesagen</vt:lpstr>
      <vt:lpstr>Fane 9. Anlægsprojekter (§ 19) </vt:lpstr>
      <vt:lpstr>Fane 10.1. Varige tillæg</vt:lpstr>
      <vt:lpstr>Fane 10.2. Engangstillæg</vt:lpstr>
      <vt:lpstr>Fane 11. Tilknyttet virksomhed</vt:lpstr>
      <vt:lpstr>Fane 12. Bortfald</vt:lpstr>
      <vt:lpstr>Fane 13. Nøgletal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Wouter Cuyvers</cp:lastModifiedBy>
  <cp:lastPrinted>2016-06-14T12:57:30Z</cp:lastPrinted>
  <dcterms:created xsi:type="dcterms:W3CDTF">2016-06-02T08:51:18Z</dcterms:created>
  <dcterms:modified xsi:type="dcterms:W3CDTF">2022-12-19T07:59:48Z</dcterms:modified>
</cp:coreProperties>
</file>