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dder Vandværk A.m.b.a. (V14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26" i="32" l="1"/>
  <c r="E35" i="32" l="1"/>
  <c r="E37" i="32" s="1"/>
  <c r="E30" i="32"/>
  <c r="C30" i="2" s="1"/>
  <c r="C14" i="19"/>
  <c r="C23" i="23" l="1"/>
  <c r="C23" i="22"/>
  <c r="C23" i="15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1" i="36"/>
  <c r="F11" i="11"/>
  <c r="G11" i="11"/>
  <c r="G35" i="36" l="1"/>
  <c r="E19" i="27"/>
  <c r="G35" i="30"/>
  <c r="E18" i="27"/>
  <c r="C10" i="37"/>
  <c r="C12" i="37" s="1"/>
  <c r="C13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<sst xmlns="http://schemas.openxmlformats.org/spreadsheetml/2006/main" count="620" uniqueCount="254">
  <si>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</si>
  <si>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</si>
  <si>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</si>
  <si>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</si>
  <si>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</si>
  <si>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</si>
  <si>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</si>
  <si>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</si>
  <si>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</si>
  <si>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</si>
  <si>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</si>
  <si>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</si>
  <si>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</si>
  <si>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</si>
  <si>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</si>
  <si>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</si>
  <si>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</si>
  <si>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</si>
  <si>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</si>
  <si>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</si>
  <si>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</si>
  <si>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</si>
  <si>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</si>
  <si>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</si>
  <si>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</si>
  <si>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</si>
  <si>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</si>
  <si>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</si>
  <si>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</si>
  <si>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</si>
  <si>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</si>
  <si>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</si>
  <si>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</si>
  <si>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</si>
  <si>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</si>
  <si>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</si>
  <si>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</si>
  <si>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</si>
  <si>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</si>
  <si>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</si>
  <si>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</si>
  <si>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</si>
  <si>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</si>
  <si>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</si>
  <si>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</si>
  <si>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</si>
  <si>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</si>
  <si>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</si>
  <si>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</si>
  <si>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</si>
  <si>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</si>
  <si>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</si>
  <si>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</si>
  <si>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</si>
  <si>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</si>
  <si>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</si>
  <si>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</si>
  <si>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</si>
  <si>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</si>
  <si>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</si>
  <si>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</si>
  <si>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</si>
  <si>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</si>
  <si>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</si>
  <si>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</si>
  <si>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</si>
  <si>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</si>
  <si>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</si>
  <si>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</si>
  <si>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</si>
  <si>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</si>
  <si>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</si>
  <si>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</si>
  <si>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</si>
  <si>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</si>
  <si>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</si>
  <si>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</si>
  <si>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</si>
  <si>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</si>
  <si>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</si>
  <si>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</si>
  <si>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</si>
  <si>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</si>
  <si>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</si>
  <si>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</si>
  <si>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</si>
  <si>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</si>
  <si>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</si>
  <si>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</si>
  <si>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</si>
  <si>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</si>
  <si>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</si>
  <si>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</si>
  <si>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</si>
  <si>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</si>
  <si>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</si>
  <si>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</si>
  <si>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</si>
  <si>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</si>
  <si>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</si>
  <si>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</si>
  <si>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</si>
  <si>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</si>
  <si>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</si>
  <si>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</si>
  <si>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</si>
  <si>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</si>
  <si>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</si>
  <si>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</si>
  <si>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</si>
  <si>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</si>
  <si>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</si>
  <si>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</si>
  <si>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</si>
  <si>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</si>
  <si>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</si>
  <si>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</si>
  <si>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</si>
  <si>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</si>
  <si>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</si>
  <si>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</si>
  <si>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</si>
  <si>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</si>
  <si>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</si>
  <si>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</si>
  <si>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</si>
  <si>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</si>
  <si>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</si>
  <si>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</si>
  <si>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</si>
  <si>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</si>
  <si>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</si>
  <si>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</si>
  <si>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</si>
  <si>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</si>
  <si>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</si>
  <si>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</si>
  <si>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</si>
  <si>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</si>
  <si>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</si>
  <si>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</si>
  <si>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</si>
  <si>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</si>
  <si>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</si>
  <si>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</si>
  <si>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</si>
  <si>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</si>
  <si>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</si>
  <si>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</si>
  <si>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</si>
  <si>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</si>
  <si>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</si>
  <si>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</si>
  <si>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</si>
  <si>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</si>
  <si>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</si>
  <si>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</si>
  <si>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</si>
  <si>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</si>
  <si>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</si>
  <si>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</si>
  <si>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</si>
  <si>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</si>
  <si>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</si>
  <si>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</si>
  <si>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</si>
  <si>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</si>
  <si>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</si>
  <si>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</si>
  <si>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</si>
  <si>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</si>
  <si>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</si>
  <si>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</si>
  <si>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</si>
  <si>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</si>
  <si>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</si>
  <si>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</si>
  <si>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</si>
  <si>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</si>
  <si>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</si>
  <si>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</si>
  <si>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</si>
  <si>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</si>
  <si>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</si>
  <si>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</si>
  <si>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</si>
  <si>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</si>
  <si>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</si>
  <si>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</si>
  <si>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</si>
  <si>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</si>
  <si>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</si>
  <si>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</si>
  <si>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</si>
  <si>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</si>
  <si>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</si>
  <si>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</si>
  <si>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</si>
  <si>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</si>
  <si>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</si>
  <si>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</si>
  <si>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</si>
  <si>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</si>
  <si>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</si>
  <si>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</si>
  <si>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</si>
  <si>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</si>
  <si>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</si>
  <si>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</si>
  <si>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</si>
  <si>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</si>
  <si>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</si>
  <si>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</si>
  <si>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</si>
  <si>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</si>
  <si>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</si>
  <si>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</si>
  <si>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</si>
  <si>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</si>
  <si>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</si>
  <si>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</si>
  <si>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</si>
  <si>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</si>
  <si>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</si>
  <si>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</si>
  <si>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</si>
  <si>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Udvidelser i 2020</t>
  </si>
  <si>
    <t>Ingen tilknyttet virksomhed</t>
  </si>
  <si>
    <t>Afgift for ledningsført vand</t>
  </si>
  <si>
    <t>Afgift til Forsyningssekretariatet</t>
  </si>
  <si>
    <t>Ejendomsskat</t>
  </si>
  <si>
    <t>Undersøgelsesudgifter i forbindelse med fusion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</si>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</sst>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253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181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eGU2eV7vma3QpbC57esh7JXlVQ96aK5jGu57Y9k2UMgwc8iNuieTVx48c4GLU+jePxgHjerucbbtP2WFUiXvw==" saltValue="FmjHnddSbVIEEgbYkFXna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202</v>
      </c>
      <c r="C8" s="116"/>
      <c r="D8" s="117"/>
      <c r="E8" s="1"/>
      <c r="F8" s="1"/>
    </row>
    <row r="9" spans="1:6" ht="15" customHeight="1" x14ac:dyDescent="0.25">
      <c r="A9" s="1"/>
      <c r="B9" s="48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3" t="s">
        <v>228</v>
      </c>
      <c r="C10" s="9">
        <v>5397827</v>
      </c>
      <c r="D10" s="14" t="s">
        <v>3</v>
      </c>
      <c r="E10" s="1"/>
      <c r="F10" s="1"/>
    </row>
    <row r="11" spans="1:6" x14ac:dyDescent="0.25">
      <c r="A11" s="1"/>
      <c r="B11" s="63" t="s">
        <v>229</v>
      </c>
      <c r="C11" s="9">
        <v>54627</v>
      </c>
      <c r="D11" s="14" t="s">
        <v>3</v>
      </c>
      <c r="E11" s="1"/>
      <c r="F11" s="1"/>
    </row>
    <row r="12" spans="1:6" x14ac:dyDescent="0.25">
      <c r="A12" s="1"/>
      <c r="B12" s="63" t="s">
        <v>230</v>
      </c>
      <c r="C12" s="9">
        <v>4272</v>
      </c>
      <c r="D12" s="14" t="s">
        <v>3</v>
      </c>
      <c r="E12" s="1"/>
      <c r="F12" s="1"/>
    </row>
    <row r="13" spans="1:6" x14ac:dyDescent="0.25">
      <c r="A13" s="1"/>
      <c r="B13" s="63" t="s">
        <v>231</v>
      </c>
      <c r="C13" s="9">
        <v>17657</v>
      </c>
      <c r="D13" s="14" t="s">
        <v>3</v>
      </c>
      <c r="E13" s="1"/>
      <c r="F13" s="1"/>
    </row>
    <row r="14" spans="1:6" x14ac:dyDescent="0.25">
      <c r="A14" s="1"/>
      <c r="B14" s="51" t="s">
        <v>204</v>
      </c>
      <c r="C14" s="12">
        <f>SUM(C10:C13)</f>
        <v>5474383</v>
      </c>
      <c r="D14" s="13" t="s">
        <v>3</v>
      </c>
      <c r="E14" s="1"/>
      <c r="F14" s="1"/>
    </row>
    <row r="15" spans="1:6" x14ac:dyDescent="0.25">
      <c r="A15" s="1"/>
      <c r="B15" s="51" t="s">
        <v>205</v>
      </c>
      <c r="C15" s="12">
        <f>C14*(1+'Fane 12. Nøgletal'!C14)^2</f>
        <v>5510573.5438308707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Fayp7yvcSrFzQ7tA04JuLo3UZKv3ctTpTMB7SuYAdtLOnVPYKqyUXNcOplHcpMjdN3bW4//HXogR0NRbK4aANQ==" saltValue="NlTCBZF832ZbDQ30PuQnu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220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234</v>
      </c>
      <c r="C8" s="116"/>
      <c r="D8" s="116"/>
      <c r="E8" s="116"/>
      <c r="F8" s="117"/>
      <c r="G8" s="1"/>
    </row>
    <row r="9" spans="1:7" x14ac:dyDescent="0.25">
      <c r="A9" s="1"/>
      <c r="B9" s="112" t="s">
        <v>235</v>
      </c>
      <c r="C9" s="113"/>
      <c r="D9" s="114"/>
      <c r="E9" s="9">
        <v>287908.27831471711</v>
      </c>
      <c r="F9" s="14" t="s">
        <v>3</v>
      </c>
      <c r="G9" s="1"/>
    </row>
    <row r="10" spans="1:7" x14ac:dyDescent="0.25">
      <c r="A10" s="1"/>
      <c r="B10" s="112" t="s">
        <v>236</v>
      </c>
      <c r="C10" s="113"/>
      <c r="D10" s="114"/>
      <c r="E10" s="9">
        <v>-369152.39150430448</v>
      </c>
      <c r="F10" s="14" t="s">
        <v>3</v>
      </c>
      <c r="G10" s="1"/>
    </row>
    <row r="11" spans="1:7" x14ac:dyDescent="0.25">
      <c r="A11" s="1"/>
      <c r="B11" s="112" t="s">
        <v>237</v>
      </c>
      <c r="C11" s="113"/>
      <c r="D11" s="114"/>
      <c r="E11" s="9">
        <v>-308444.25737500191</v>
      </c>
      <c r="F11" s="14" t="s">
        <v>3</v>
      </c>
      <c r="G11" s="1"/>
    </row>
    <row r="12" spans="1:7" x14ac:dyDescent="0.25">
      <c r="A12" s="1"/>
      <c r="B12" s="112" t="s">
        <v>238</v>
      </c>
      <c r="C12" s="113"/>
      <c r="D12" s="114"/>
      <c r="E12" s="9">
        <f>IF(OR(AND(E10&gt;0,E11&lt;0),AND(E11&lt;0,E34&gt;0)),E17+E18,E11)</f>
        <v>-308444.25737500191</v>
      </c>
      <c r="F12" s="14" t="s">
        <v>3</v>
      </c>
      <c r="G12" s="1"/>
    </row>
    <row r="13" spans="1:7" x14ac:dyDescent="0.25">
      <c r="A13" s="1"/>
      <c r="B13" s="51"/>
      <c r="C13" s="52"/>
      <c r="D13" s="52"/>
      <c r="E13" s="52"/>
      <c r="F13" s="20"/>
      <c r="G13" s="1"/>
    </row>
    <row r="14" spans="1:7" ht="54.75" customHeight="1" x14ac:dyDescent="0.25">
      <c r="A14" s="1"/>
      <c r="B14" s="91" t="s">
        <v>239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240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241</v>
      </c>
      <c r="C17" s="113"/>
      <c r="D17" s="114"/>
      <c r="E17" s="9">
        <v>-194843.86084264144</v>
      </c>
      <c r="F17" s="14" t="s">
        <v>3</v>
      </c>
      <c r="G17" s="1"/>
    </row>
    <row r="18" spans="1:7" x14ac:dyDescent="0.25">
      <c r="A18" s="1"/>
      <c r="B18" s="112" t="s">
        <v>242</v>
      </c>
      <c r="C18" s="113"/>
      <c r="D18" s="114"/>
      <c r="E18" s="9">
        <v>-194843.86084264144</v>
      </c>
      <c r="F18" s="14" t="s">
        <v>3</v>
      </c>
      <c r="G18" s="1"/>
    </row>
    <row r="19" spans="1:7" x14ac:dyDescent="0.25">
      <c r="A19" s="1"/>
      <c r="B19" s="51"/>
      <c r="C19" s="52"/>
      <c r="D19" s="52"/>
      <c r="E19" s="52"/>
      <c r="F19" s="20"/>
      <c r="G19" s="1"/>
    </row>
    <row r="20" spans="1:7" ht="30" customHeight="1" x14ac:dyDescent="0.25">
      <c r="A20" s="1"/>
      <c r="B20" s="91" t="s">
        <v>243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206</v>
      </c>
      <c r="C22" s="61"/>
      <c r="D22" s="61"/>
      <c r="E22" s="61"/>
      <c r="F22" s="62"/>
      <c r="G22" s="1"/>
    </row>
    <row r="23" spans="1:7" x14ac:dyDescent="0.25">
      <c r="A23" s="1"/>
      <c r="B23" s="57" t="s">
        <v>207</v>
      </c>
      <c r="C23" s="58"/>
      <c r="D23" s="59"/>
      <c r="E23" s="9">
        <v>15407582.63600333</v>
      </c>
      <c r="F23" s="14" t="s">
        <v>3</v>
      </c>
      <c r="G23" s="1"/>
    </row>
    <row r="24" spans="1:7" x14ac:dyDescent="0.25">
      <c r="A24" s="1"/>
      <c r="B24" s="57" t="s">
        <v>208</v>
      </c>
      <c r="C24" s="58"/>
      <c r="D24" s="59"/>
      <c r="E24" s="9">
        <v>15752636</v>
      </c>
      <c r="F24" s="14" t="s">
        <v>3</v>
      </c>
      <c r="G24" s="1"/>
    </row>
    <row r="25" spans="1:7" x14ac:dyDescent="0.25">
      <c r="A25" s="1"/>
      <c r="B25" s="57" t="s">
        <v>34</v>
      </c>
      <c r="C25" s="58"/>
      <c r="D25" s="59"/>
      <c r="E25" s="9">
        <v>0</v>
      </c>
      <c r="F25" s="14" t="s">
        <v>3</v>
      </c>
      <c r="G25" s="1"/>
    </row>
    <row r="26" spans="1:7" x14ac:dyDescent="0.25">
      <c r="A26" s="1"/>
      <c r="B26" s="64" t="s">
        <v>250</v>
      </c>
      <c r="C26" s="65"/>
      <c r="D26" s="66"/>
      <c r="E26" s="45">
        <f>E23-(E24-E25)</f>
        <v>-345053.36399666965</v>
      </c>
      <c r="F26" s="17" t="s">
        <v>3</v>
      </c>
      <c r="G26" s="1"/>
    </row>
    <row r="27" spans="1:7" x14ac:dyDescent="0.25">
      <c r="A27" s="1"/>
      <c r="B27" s="51"/>
      <c r="C27" s="52"/>
      <c r="D27" s="52"/>
      <c r="E27" s="5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244</v>
      </c>
      <c r="C29" s="116"/>
      <c r="D29" s="116"/>
      <c r="E29" s="116"/>
      <c r="F29" s="117"/>
      <c r="G29" s="1"/>
    </row>
    <row r="30" spans="1:7" x14ac:dyDescent="0.25">
      <c r="A30" s="1"/>
      <c r="B30" s="130" t="s">
        <v>245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-194843.86084264144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246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251</v>
      </c>
      <c r="C34" s="138"/>
      <c r="D34" s="139"/>
      <c r="E34" s="9">
        <v>0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-345053.36399666965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-86263.340999167413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1" t="s">
        <v>249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QOmJcahkGQ5Xw9g+QVcDkh8mjs46oF71OCeY9GM1MksIuNGTN8TGRpUUZFPzPPbSURnuPJz1rhW3rBRTLsauA==" saltValue="dgdkWS/z3ldP1oRwuGSbbw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25">
      <c r="A10" s="1"/>
      <c r="B10" s="68" t="s">
        <v>252</v>
      </c>
      <c r="C10" s="6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ZnRGx66TX7YAzIycrQla++uBFKMEPYCJEVllUyI6UK+ewIyqHzgA7rOLiz/i41vJI6HTXESNheXbce747y76A==" saltValue="lqVJtxYsnG/Im6pxPD7G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84</v>
      </c>
      <c r="C8" s="52"/>
      <c r="D8" s="52"/>
      <c r="E8" s="52"/>
      <c r="F8" s="20"/>
      <c r="G8" s="1"/>
    </row>
    <row r="9" spans="1:7" ht="17.25" customHeight="1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226</v>
      </c>
      <c r="C11" s="22">
        <v>357950</v>
      </c>
      <c r="D11" s="14" t="s">
        <v>3</v>
      </c>
      <c r="E11" s="9">
        <v>27205</v>
      </c>
      <c r="F11" s="14" t="s">
        <v>3</v>
      </c>
      <c r="G11" s="1"/>
    </row>
    <row r="12" spans="1:7" x14ac:dyDescent="0.25">
      <c r="A12" s="1"/>
      <c r="B12" s="51" t="s">
        <v>136</v>
      </c>
      <c r="C12" s="12">
        <f>SUM(C10:C11)</f>
        <v>357950</v>
      </c>
      <c r="D12" s="13" t="s">
        <v>3</v>
      </c>
      <c r="E12" s="12">
        <f>SUM(E10:E11)</f>
        <v>27205</v>
      </c>
      <c r="F12" s="13" t="s">
        <v>3</v>
      </c>
      <c r="G12" s="1"/>
    </row>
    <row r="13" spans="1:7" x14ac:dyDescent="0.25">
      <c r="A13" s="1"/>
      <c r="B13" s="51" t="s">
        <v>209</v>
      </c>
      <c r="C13" s="12">
        <f>C12*(1+'Fane 12. Nøgletal'!C14)</f>
        <v>359131.23500000004</v>
      </c>
      <c r="D13" s="13" t="s">
        <v>3</v>
      </c>
      <c r="E13" s="12">
        <f>E12*(1+'Fane 12. Nøgletal'!C14)</f>
        <v>27294.776500000004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mW3gO+HnpgIo1v9wMBkF8eFqYhDhUPy/ZQ2epgTDPF47xh860OeCVz8BMlIFdog7wIP72DGCOaMuz/9c6cjTw==" saltValue="fq75tH0aCYp4Xac8wNKQj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232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49" t="s">
        <v>16</v>
      </c>
      <c r="C17" s="49" t="s">
        <v>11</v>
      </c>
      <c r="D17" s="50"/>
      <c r="E17" s="49" t="s">
        <v>32</v>
      </c>
      <c r="F17" s="54"/>
      <c r="G17" s="1"/>
    </row>
    <row r="18" spans="1:7" x14ac:dyDescent="0.25">
      <c r="A18" s="1"/>
      <c r="B18" s="25" t="s">
        <v>232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1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49" t="s">
        <v>16</v>
      </c>
      <c r="C25" s="49" t="s">
        <v>11</v>
      </c>
      <c r="D25" s="50"/>
      <c r="E25" s="49" t="s">
        <v>32</v>
      </c>
      <c r="F25" s="54"/>
      <c r="G25" s="1"/>
    </row>
    <row r="26" spans="1:7" x14ac:dyDescent="0.25">
      <c r="A26" s="1"/>
      <c r="B26" s="25" t="s">
        <v>232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1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211</v>
      </c>
      <c r="C32" s="116"/>
      <c r="D32" s="116"/>
      <c r="E32" s="116"/>
      <c r="F32" s="117"/>
      <c r="G32" s="1"/>
    </row>
    <row r="33" spans="1:7" x14ac:dyDescent="0.25">
      <c r="A33" s="1"/>
      <c r="B33" s="49" t="s">
        <v>16</v>
      </c>
      <c r="C33" s="49" t="s">
        <v>11</v>
      </c>
      <c r="D33" s="50"/>
      <c r="E33" s="49" t="s">
        <v>32</v>
      </c>
      <c r="F33" s="54"/>
      <c r="G33" s="1"/>
    </row>
    <row r="34" spans="1:7" x14ac:dyDescent="0.25">
      <c r="A34" s="1"/>
      <c r="B34" s="25" t="s">
        <v>232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1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1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By74BEFTxwp35MT1ndYd/qQcJUADWNc+RY/0u1o6fqIfYiG2JB0rrb+ZWjIeo8VKp59XdcmRVhCpBjYwj7zaw==" saltValue="2qlIYX3eNEYNROOxLVO1g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53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1gMTZNOYqzCun3O0ByKNBCsPIvEDLJNO9jwtMMFBKdQAgSsRdKsJeX6HnDq2XxbxpZyZ3GO3Iz0g7sq1u8hg==" saltValue="5KlJ3ElNZk2gpqTOtSg5z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53" t="s">
        <v>17</v>
      </c>
      <c r="C16" s="53" t="s">
        <v>11</v>
      </c>
      <c r="D16" s="54"/>
      <c r="E16" s="53" t="s">
        <v>32</v>
      </c>
      <c r="F16" s="54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53" t="s">
        <v>17</v>
      </c>
      <c r="C23" s="53" t="s">
        <v>11</v>
      </c>
      <c r="D23" s="54"/>
      <c r="E23" s="53" t="s">
        <v>32</v>
      </c>
      <c r="F23" s="54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214</v>
      </c>
      <c r="C29" s="116"/>
      <c r="D29" s="116"/>
      <c r="E29" s="116"/>
      <c r="F29" s="117"/>
      <c r="G29" s="1"/>
    </row>
    <row r="30" spans="1:7" ht="26.25" x14ac:dyDescent="0.25">
      <c r="A30" s="1"/>
      <c r="B30" s="53" t="s">
        <v>17</v>
      </c>
      <c r="C30" s="53" t="s">
        <v>11</v>
      </c>
      <c r="D30" s="54"/>
      <c r="E30" s="53" t="s">
        <v>32</v>
      </c>
      <c r="F30" s="54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1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S8BofcZe8yceu9t0VaG3XpsK6EobZerXDOEP2GAmKwzs/DDyi39QyPrsj9sVXgs689bFNyO92u8PJBpwKNQXw==" saltValue="/SlKAHdqRoGzVLTknl0/n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1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1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1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pbFWMY7Cnrm5+9zNcyPkWrsItIIYCIQDKRyX2W+kt1AmVzxtVsjtYIQbXLELtvV+Qj/+nFgg4J2EmFyYHDP6Gw==" saltValue="FrEqODaCN9E6JW+fW03d7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x14ac:dyDescent="0.25">
      <c r="A9" s="1"/>
      <c r="B9" s="56" t="s">
        <v>24</v>
      </c>
      <c r="C9" s="7">
        <f>'Fane 3. Omkostninger i ØR2021'!E20</f>
        <v>12568366.583415309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995522.63927340647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711769.8469019247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359131.23500000004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27294.776500000004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154609.27815561678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-175319.95527416337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-127527.04383027155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-200594.70905183748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12605960.164914653</v>
      </c>
      <c r="D22" s="11" t="s">
        <v>3</v>
      </c>
      <c r="E22" s="1"/>
    </row>
    <row r="23" spans="1:5" ht="15" customHeight="1" x14ac:dyDescent="0.25">
      <c r="A23" s="1"/>
      <c r="B23" s="51" t="s">
        <v>12</v>
      </c>
      <c r="C23" s="52"/>
      <c r="D23" s="20"/>
      <c r="E23" s="1"/>
    </row>
    <row r="24" spans="1:5" ht="15" customHeight="1" x14ac:dyDescent="0.25">
      <c r="A24" s="1"/>
      <c r="B24" s="53" t="s">
        <v>12</v>
      </c>
      <c r="C24" s="10">
        <f>'Fane 6. Ikke-påvirkelige omk.'!C15</f>
        <v>5510573.5438308707</v>
      </c>
      <c r="D24" s="11" t="s">
        <v>3</v>
      </c>
      <c r="E24" s="1"/>
    </row>
    <row r="25" spans="1:5" ht="15" customHeight="1" x14ac:dyDescent="0.25">
      <c r="A25" s="1"/>
      <c r="B25" s="51" t="s">
        <v>89</v>
      </c>
      <c r="C25" s="52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2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-194843.86084264144</v>
      </c>
      <c r="D30" s="11" t="s">
        <v>3</v>
      </c>
      <c r="E30" s="1"/>
    </row>
    <row r="31" spans="1:5" x14ac:dyDescent="0.25">
      <c r="A31" s="1"/>
      <c r="B31" s="36" t="s">
        <v>224</v>
      </c>
      <c r="C31" s="52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1" t="s">
        <v>30</v>
      </c>
      <c r="C33" s="31">
        <f>SUM(C22,C24,C28,C30,C32)</f>
        <v>17921689.847902883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3C8sdyTA6OjNbhjENatFxdvfl/qPXCXStbLWsdcj0gZzRyePgTvSv8jhwXn3rkxSCaWqxTxCsUFn3w6b9rUESw==" saltValue="EuAtnyVZ/kwq+FZbCuuKo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134</v>
      </c>
      <c r="C8" s="7">
        <f>'Fane 2.1. Økonomisk ramme 2022'!C22</f>
        <v>12605960.164914653</v>
      </c>
      <c r="D8" s="8" t="s">
        <v>3</v>
      </c>
      <c r="E8" s="1"/>
    </row>
    <row r="9" spans="1:5" ht="15" customHeight="1" x14ac:dyDescent="0.2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2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41599.668544218352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-169143.46251633274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drift'!G44</f>
        <v>-125388.92541341322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anlæg'!G44</f>
        <v>-105521.87332481869</v>
      </c>
      <c r="D14" s="8" t="s">
        <v>3</v>
      </c>
      <c r="E14" s="1"/>
    </row>
    <row r="15" spans="1:5" ht="15" customHeight="1" x14ac:dyDescent="0.25">
      <c r="A15" s="1"/>
      <c r="B15" s="48" t="s">
        <v>20</v>
      </c>
      <c r="C15" s="10">
        <f>SUM(C8:C14)</f>
        <v>12247505.572204307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</f>
        <v>5528758.4365255134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6" t="s">
        <v>161</v>
      </c>
      <c r="C22" s="52"/>
      <c r="D22" s="20"/>
      <c r="E22" s="1"/>
    </row>
    <row r="23" spans="1:5" ht="15" customHeight="1" x14ac:dyDescent="0.25">
      <c r="A23" s="1"/>
      <c r="B23" s="67" t="s">
        <v>162</v>
      </c>
      <c r="C23" s="10">
        <f>'Fane 7. Kontrol af ØR2020'!E37</f>
        <v>-86263.340999167413</v>
      </c>
      <c r="D23" s="11" t="s">
        <v>3</v>
      </c>
      <c r="E23" s="1"/>
    </row>
    <row r="24" spans="1:5" x14ac:dyDescent="0.25">
      <c r="A24" s="1"/>
      <c r="B24" s="36" t="s">
        <v>224</v>
      </c>
      <c r="C24" s="52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97</v>
      </c>
      <c r="C26" s="12">
        <f>SUM(C15,C17,C21,C23,C25)</f>
        <v>17690000.667730652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5V/5q0cJTiHLU4z+BmUk+iR0xbBPU7EzrzH3DGCRl2mKLJRNM2zohsH/llXZAahqu5x/6WVZjkd8IIWK8vWkmQ==" saltValue="y+8WNJriExDrYX+XIsRPJ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135</v>
      </c>
      <c r="C8" s="7">
        <f>'Fane 2.2. Økonomisk ramme 2023'!C15</f>
        <v>12247505.572204307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40416.768388274213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-164333.81294004282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-123286.65468993195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anlæg'!G54</f>
        <v>-104303.21809329008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11895998.654869316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Nøgletal'!C14)^2</f>
        <v>5547003.3393660476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-86263.340999167413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2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186</v>
      </c>
      <c r="C26" s="12">
        <f>SUM(C15,C17,C21,C23,C25)</f>
        <v>17356738.653236195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zPigi7S6YLSJJ06cukBuLaBqs+XlGsIRrAHxEuQvXCDpL/YIqBYcOs29IWJaaoIi2TACydB9zHpY+RHpT3JTGQ==" saltValue="Q/uWzGU8suvw4CrPKrUr6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188</v>
      </c>
      <c r="C8" s="7">
        <f>'Fane 2.3. Økonomisk ramme 2024'!C15</f>
        <v>11895998.654869316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39256.795561068742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-159617.38544712085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-121219.63063740055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anlæg'!G60</f>
        <v>-103098.63691604558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11551319.797429821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Nøgletal'!C14)^3</f>
        <v>5565308.4503859561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-86263.340999167413</v>
      </c>
      <c r="D23" s="11" t="s">
        <v>3</v>
      </c>
      <c r="E23" s="1"/>
    </row>
    <row r="24" spans="1:5" x14ac:dyDescent="0.25">
      <c r="A24" s="1"/>
      <c r="B24" s="36" t="s">
        <v>224</v>
      </c>
      <c r="C24" s="52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189</v>
      </c>
      <c r="C26" s="12">
        <f>SUM(C15,C17,C21,C23,C25)</f>
        <v>17030364.906816609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zV4mlYNYXMKoXPjaPf2bagzQQzyr3TMyDh2AjvkBvkd/ubdaWtEY7D8JfEQNZ9ruPbNF2LOZyFh2B2TrOrV7g==" saltValue="wT3Wlv5tOlbMmzYjo5IP5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190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223</v>
      </c>
      <c r="C8" s="52"/>
      <c r="D8" s="52"/>
      <c r="E8" s="52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11159651.827876957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1017480.6474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733157.71620000002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157505.54033601886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-174763.53119813756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f>-'Fane 4.1. Gen. krav - drift'!G31</f>
        <v>-121296.42491074358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f>-'Fane 4.2. Gen. krav - anlæg'!G31</f>
        <v>-203369.19228878451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12568366.583415309</v>
      </c>
      <c r="F20" s="11" t="s">
        <v>3</v>
      </c>
      <c r="G20" s="1"/>
    </row>
    <row r="21" spans="1:7" x14ac:dyDescent="0.25">
      <c r="A21" s="1"/>
      <c r="B21" s="51" t="s">
        <v>12</v>
      </c>
      <c r="C21" s="52"/>
      <c r="D21" s="52"/>
      <c r="E21" s="52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5578041.4099099198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2"/>
      <c r="F23" s="52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1" t="s">
        <v>161</v>
      </c>
      <c r="C27" s="52"/>
      <c r="D27" s="52"/>
      <c r="E27" s="52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-194843.86084264144</v>
      </c>
      <c r="F28" s="11" t="s">
        <v>3</v>
      </c>
      <c r="G28" s="1"/>
    </row>
    <row r="29" spans="1:7" x14ac:dyDescent="0.25">
      <c r="A29" s="1"/>
      <c r="B29" s="51" t="s">
        <v>247</v>
      </c>
      <c r="C29" s="52"/>
      <c r="D29" s="52"/>
      <c r="E29" s="52"/>
      <c r="F29" s="20"/>
      <c r="G29" s="1"/>
    </row>
    <row r="30" spans="1:7" ht="15.6" customHeight="1" x14ac:dyDescent="0.25">
      <c r="A30" s="1"/>
      <c r="B30" s="105" t="s">
        <v>248</v>
      </c>
      <c r="C30" s="106"/>
      <c r="D30" s="107"/>
      <c r="E30" s="10">
        <v>176.61410000000001</v>
      </c>
      <c r="F30" s="11" t="s">
        <v>3</v>
      </c>
      <c r="G30" s="1"/>
    </row>
    <row r="31" spans="1:7" x14ac:dyDescent="0.25">
      <c r="A31" s="1"/>
      <c r="B31" s="51" t="s">
        <v>29</v>
      </c>
      <c r="C31" s="52"/>
      <c r="D31" s="52"/>
      <c r="E31" s="12">
        <f>E20+E22+E26+E28+E30</f>
        <v>17951740.74658259</v>
      </c>
      <c r="F31" s="13" t="s">
        <v>3</v>
      </c>
      <c r="G31" s="1"/>
    </row>
    <row r="32" spans="1:7" ht="27.75" customHeight="1" x14ac:dyDescent="0.25">
      <c r="A32" s="1"/>
      <c r="B32" s="91" t="s">
        <v>191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4oLrzq3DAIAzb4inqTxfhGrpZWi+KrABx2i6NSZ3nALPU1zwS+x8j2919uCURU0AdgJ7DX/YA+3SchBKqBE4w==" saltValue="WX9hNMaH4nJWArairhTfsg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5404911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108098.22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5364082.3023060001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107281.64604612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5345640.5873506721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-307981.98159172566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9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100753.17211517892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5020339.135472347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55417.585832730008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101515.13442610155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5034927.3342388989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1029893.91129828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121296.42491074358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6016035.8234380772</v>
      </c>
      <c r="H35" s="14" t="s">
        <v>3</v>
      </c>
      <c r="I35" s="1"/>
    </row>
    <row r="36" spans="1:9" x14ac:dyDescent="0.25">
      <c r="A36" s="1"/>
      <c r="B36" s="37" t="s">
        <v>192</v>
      </c>
      <c r="C36" s="58"/>
      <c r="D36" s="58"/>
      <c r="E36" s="58"/>
      <c r="F36" s="59"/>
      <c r="G36" s="24">
        <f>SUM('Fane 2.1. Økonomisk ramme 2022'!C10)*(1+'Fane 12. Nøgletal'!C14)</f>
        <v>998807.86398300878</v>
      </c>
      <c r="H36" s="14" t="s">
        <v>3</v>
      </c>
      <c r="I36" s="1"/>
    </row>
    <row r="37" spans="1:9" x14ac:dyDescent="0.25">
      <c r="A37" s="1"/>
      <c r="B37" s="112" t="s">
        <v>221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360316.36807550007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127527.04383027155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6269446.2706706608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125388.92541341322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6164332.7344965972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123286.65468993195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198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199</v>
      </c>
      <c r="C54" s="113"/>
      <c r="D54" s="113"/>
      <c r="E54" s="113"/>
      <c r="F54" s="114"/>
      <c r="G54" s="24">
        <f>(G48+G49-G50)*(1+'Fane 12. Nøgletal'!C14)</f>
        <v>6060981.5318700271</v>
      </c>
      <c r="H54" s="14" t="s">
        <v>3</v>
      </c>
      <c r="I54" s="1"/>
    </row>
    <row r="55" spans="1:9" x14ac:dyDescent="0.25">
      <c r="A55" s="1"/>
      <c r="B55" s="112" t="s">
        <v>200</v>
      </c>
      <c r="C55" s="113"/>
      <c r="D55" s="113"/>
      <c r="E55" s="113"/>
      <c r="F55" s="114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201</v>
      </c>
      <c r="C56" s="113"/>
      <c r="D56" s="113"/>
      <c r="E56" s="113"/>
      <c r="F56" s="114"/>
      <c r="G56" s="24">
        <f>(G54+G55)*'Fane 12. Nøgletal'!C29</f>
        <v>121219.63063740055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fJDOA8a0yitplEfbpHPV452lZ6QLuwo//ipOMptzq5xYjBkbhtU4rTd/lrhsUnRDJxgNejYm0WmTgJJN2+IYEQ==" saltValue="KO67unnHXuIzouQ2U1qDyg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5885449.4345811922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53557.589854688849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5905956.871154529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53744.207527506216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5951115.0576423192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59462.366569985788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214331.82212786996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54156.710443159522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6275038.2537536742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362809.48034697305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64896.622049510996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6653141.11561816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742102.24033764005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203369.19228878451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7279615.0284637529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714118.68739670108</v>
      </c>
      <c r="H36" s="14" t="s">
        <v>3</v>
      </c>
      <c r="I36" s="38"/>
    </row>
    <row r="37" spans="1:9" x14ac:dyDescent="0.25">
      <c r="A37" s="1"/>
      <c r="B37" s="112" t="s">
        <v>193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27384.849262450007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200594.70905183748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7129856.305730992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105521.87332481869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5" t="s">
        <v>153</v>
      </c>
      <c r="C51" s="116"/>
      <c r="D51" s="116"/>
      <c r="E51" s="116"/>
      <c r="F51" s="116"/>
      <c r="G51" s="116"/>
      <c r="H51" s="117"/>
      <c r="I51" s="1"/>
    </row>
    <row r="52" spans="1:9" x14ac:dyDescent="0.25">
      <c r="A52" s="1"/>
      <c r="B52" s="112" t="s">
        <v>154</v>
      </c>
      <c r="C52" s="113"/>
      <c r="D52" s="113"/>
      <c r="E52" s="113"/>
      <c r="F52" s="114"/>
      <c r="G52" s="24">
        <f>(G42+G43-G44)*(1+'Fane 12. Nøgletal'!C14)</f>
        <v>7047514.7360331137</v>
      </c>
      <c r="H52" s="14" t="s">
        <v>3</v>
      </c>
      <c r="I52" s="1"/>
    </row>
    <row r="53" spans="1:9" x14ac:dyDescent="0.25">
      <c r="A53" s="1"/>
      <c r="B53" s="112" t="s">
        <v>155</v>
      </c>
      <c r="C53" s="113"/>
      <c r="D53" s="113"/>
      <c r="E53" s="113"/>
      <c r="F53" s="114"/>
      <c r="G53" s="9">
        <f>-'Fane 11. Bortfald'!E26*(1+'Fane 12. Nøgletal'!C13)</f>
        <v>0</v>
      </c>
      <c r="H53" s="14" t="s">
        <v>3</v>
      </c>
      <c r="I53" s="1"/>
    </row>
    <row r="54" spans="1:9" x14ac:dyDescent="0.25">
      <c r="A54" s="1"/>
      <c r="B54" s="112" t="s">
        <v>156</v>
      </c>
      <c r="C54" s="113"/>
      <c r="D54" s="113"/>
      <c r="E54" s="113"/>
      <c r="F54" s="114"/>
      <c r="G54" s="24">
        <f>(G52+G53)*'Fane 12. Nøgletal'!C24</f>
        <v>104303.21809329008</v>
      </c>
      <c r="H54" s="14" t="s">
        <v>3</v>
      </c>
      <c r="I54" s="1"/>
    </row>
    <row r="55" spans="1:9" x14ac:dyDescent="0.25">
      <c r="A55" s="1"/>
      <c r="B55" s="51"/>
      <c r="C55" s="52"/>
      <c r="D55" s="52"/>
      <c r="E55" s="52"/>
      <c r="F55" s="52"/>
      <c r="G55" s="5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5" t="s">
        <v>194</v>
      </c>
      <c r="C57" s="116"/>
      <c r="D57" s="116"/>
      <c r="E57" s="116"/>
      <c r="F57" s="116"/>
      <c r="G57" s="116"/>
      <c r="H57" s="117"/>
      <c r="I57" s="1"/>
    </row>
    <row r="58" spans="1:9" x14ac:dyDescent="0.25">
      <c r="A58" s="1"/>
      <c r="B58" s="112" t="s">
        <v>195</v>
      </c>
      <c r="C58" s="113"/>
      <c r="D58" s="113"/>
      <c r="E58" s="113"/>
      <c r="F58" s="114"/>
      <c r="G58" s="24">
        <f>(G52+G53-G54)*(1+'Fane 12. Nøgletal'!C14)</f>
        <v>6966124.1159490254</v>
      </c>
      <c r="H58" s="14" t="s">
        <v>3</v>
      </c>
      <c r="I58" s="1"/>
    </row>
    <row r="59" spans="1:9" x14ac:dyDescent="0.25">
      <c r="A59" s="1"/>
      <c r="B59" s="112" t="s">
        <v>196</v>
      </c>
      <c r="C59" s="113"/>
      <c r="D59" s="113"/>
      <c r="E59" s="113"/>
      <c r="F59" s="114"/>
      <c r="G59" s="9">
        <f>-'Fane 11. Bortfald'!E33*(1+'Fane 12. Nøgletal'!C14)</f>
        <v>0</v>
      </c>
      <c r="H59" s="14" t="s">
        <v>3</v>
      </c>
      <c r="I59" s="1"/>
    </row>
    <row r="60" spans="1:9" x14ac:dyDescent="0.25">
      <c r="A60" s="1"/>
      <c r="B60" s="112" t="s">
        <v>197</v>
      </c>
      <c r="C60" s="113"/>
      <c r="D60" s="113"/>
      <c r="E60" s="113"/>
      <c r="F60" s="114"/>
      <c r="G60" s="24">
        <f>(G58+G59)*'Fane 12. Nøgletal'!C24</f>
        <v>103098.63691604558</v>
      </c>
      <c r="H60" s="14" t="s">
        <v>3</v>
      </c>
      <c r="I60" s="1"/>
    </row>
    <row r="61" spans="1:9" x14ac:dyDescent="0.25">
      <c r="A61" s="1"/>
      <c r="B61" s="51"/>
      <c r="C61" s="52"/>
      <c r="D61" s="52"/>
      <c r="E61" s="52"/>
      <c r="F61" s="52"/>
      <c r="G61" s="52"/>
      <c r="H61" s="20"/>
      <c r="I61" s="1"/>
    </row>
  </sheetData>
  <sheetProtection algorithmName="SHA-512" hashValue="yH7F6Z2BiSkZlWSD7OyLOt0azk6vpYt3f7nSUXAEmND9o8WpvWBR+L6KEsKgEtmRbcCQP6sqyIO6zJ82+N0kiw==" saltValue="Kc4YZSCt0hefK5cNBGq0Hg==" spinCount="100000" sheet="1" objects="1" scenarios="1"/>
  <mergeCells count="37">
    <mergeCell ref="B1:H3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2:F52"/>
    <mergeCell ref="B53:F53"/>
    <mergeCell ref="B54:F54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1.309020443726182E-2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1.337360445363279E-2</v>
      </c>
      <c r="H10" s="14"/>
      <c r="I10" s="1"/>
    </row>
    <row r="11" spans="1:9" x14ac:dyDescent="0.25">
      <c r="A11" s="1"/>
      <c r="B11" s="51"/>
      <c r="C11" s="52"/>
      <c r="D11" s="52"/>
      <c r="E11" s="52"/>
      <c r="F11" s="52"/>
      <c r="G11" s="52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DCs+G1ehWev4gAbJDFobgihbMSRpVTThANQUuiHjh6I60VdZiV+uM5Gl4B+6MCkq4P26HwBQiGFoau670RWTg==" saltValue="u+BV2FwiCwRRc9RWAdLHk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2021-10-08T12:26:48Z</dcterms:modified>
</cp:coreProperties>
</file>