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angeland Vand ApS (V11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11" l="1"/>
  <c r="E12" i="11"/>
  <c r="E14" i="27" l="1"/>
  <c r="E26" i="32" l="1"/>
  <c r="E11" i="11" l="1"/>
  <c r="E13" i="11"/>
  <c r="E10" i="11"/>
  <c r="E9" i="32" l="1"/>
  <c r="E39" i="32" s="1"/>
  <c r="E42" i="32" s="1"/>
  <c r="E21" i="15" l="1"/>
  <c r="E25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4" i="32"/>
  <c r="E40" i="32" s="1"/>
  <c r="E43" i="32" s="1"/>
  <c r="E22" i="15" l="1"/>
  <c r="E26" i="2"/>
  <c r="F14" i="11"/>
  <c r="C10" i="37" s="1"/>
  <c r="C11" i="37" s="1"/>
  <c r="C12" i="37" s="1"/>
  <c r="G14" i="11"/>
  <c r="E11" i="21" l="1"/>
  <c r="C11" i="21"/>
  <c r="E11" i="29"/>
  <c r="C11" i="29"/>
  <c r="C15" i="19"/>
  <c r="E14" i="23" l="1"/>
  <c r="E19" i="2"/>
  <c r="E14" i="22"/>
  <c r="E15" i="15"/>
  <c r="C12" i="21"/>
  <c r="E12" i="21"/>
  <c r="C12" i="29"/>
  <c r="E12" i="29"/>
  <c r="E14" i="2" l="1"/>
  <c r="E13" i="2"/>
  <c r="E10" i="37" l="1"/>
  <c r="E11" i="37" s="1"/>
  <c r="E12" i="37" s="1"/>
  <c r="E12" i="2" s="1"/>
  <c r="E15" i="2" l="1"/>
  <c r="E16" i="2" l="1"/>
  <c r="E17" i="2" s="1"/>
  <c r="E29" i="2" l="1"/>
  <c r="E9" i="15"/>
  <c r="E11" i="15" s="1"/>
  <c r="E12" i="15" s="1"/>
  <c r="E13" i="15" l="1"/>
  <c r="E23" i="15" s="1"/>
  <c r="E8" i="22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<sst xmlns="http://schemas.openxmlformats.org/spreadsheetml/2006/main" count="427" uniqueCount="168">
  <si>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</si>
  <si>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</si>
  <si>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</si>
  <si>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</si>
  <si>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</si>
  <si>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</si>
  <si>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</si>
  <si>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</si>
  <si>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</si>
  <si>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</si>
  <si>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</si>
  <si>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</si>
  <si>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</si>
  <si>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</si>
  <si>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</si>
  <si>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</si>
  <si>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</si>
  <si>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</si>
  <si>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</si>
  <si>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</si>
  <si>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</si>
  <si>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</si>
  <si>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</si>
  <si>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</si>
  <si>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</si>
  <si>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</si>
  <si>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</si>
  <si>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</si>
  <si>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</si>
  <si>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</si>
  <si>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</si>
  <si>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</si>
  <si>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</si>
  <si>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</si>
  <si>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</si>
  <si>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</si>
  <si>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</si>
  <si>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</si>
  <si>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</si>
  <si>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</si>
  <si>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</si>
  <si>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</si>
  <si>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</si>
  <si>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</si>
  <si>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</si>
  <si>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</si>
  <si>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</si>
  <si>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</si>
  <si>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</si>
  <si>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</si>
  <si>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</si>
  <si>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</si>
  <si>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</si>
  <si>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</si>
  <si>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</si>
  <si>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</si>
  <si>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</si>
  <si>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</si>
  <si>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</si>
  <si>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</si>
  <si>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</si>
  <si>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</si>
  <si>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</si>
  <si>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</si>
  <si>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</si>
  <si>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</si>
  <si>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</si>
  <si>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</si>
  <si>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</si>
  <si>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</si>
  <si>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</si>
  <si>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</si>
  <si>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</si>
  <si>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</si>
  <si>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</si>
  <si>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</si>
  <si>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</si>
  <si>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</si>
  <si>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</si>
  <si>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</si>
  <si>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</si>
  <si>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</si>
  <si>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</si>
  <si>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</si>
  <si>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</si>
  <si>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</si>
  <si>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</si>
  <si>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</si>
  <si>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</si>
  <si>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</si>
  <si>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</si>
  <si>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</si>
  <si>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</si>
  <si>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</si>
  <si>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</si>
  <si>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</si>
  <si>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</si>
  <si>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</si>
  <si>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</si>
  <si>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</si>
  <si>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</si>
  <si>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</si>
  <si>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</si>
  <si>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</si>
  <si>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</si>
  <si>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</si>
  <si>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</si>
  <si>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</si>
  <si>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</si>
  <si>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</si>
  <si>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</si>
  <si>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</si>
  <si>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</si>
  <si>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</si>
  <si>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</si>
  <si>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</si>
  <si>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</si>
  <si>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</si>
  <si>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</si>
  <si>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</si>
  <si>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</si>
  <si>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</si>
  <si>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</si>
  <si>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</si>
  <si>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</si>
  <si>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</si>
  <si>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</si>
  <si>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</si>
  <si>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</si>
  <si>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</si>
  <si>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</si>
  <si>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</si>
  <si>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</si>
  <si>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</si>
  <si>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</si>
  <si>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</si>
  <si>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</si>
  <si>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</si>
  <si>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</si>
  <si>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</si>
  <si>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</si>
  <si>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</si>
  <si>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</si>
  <si>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</si>
  <si>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</si>
  <si>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</si>
  <si>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</si>
  <si>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</si>
  <si>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</si>
  <si>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</si>
  <si>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</si>
  <si>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</si>
  <si>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</si>
  <si>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</si>
  <si>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</si>
  <si>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</si>
  <si>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Ø 50mm &lt; Ledningsnet ≤ Ø110 mm</t>
  </si>
  <si>
    <t>75</t>
  </si>
  <si>
    <t>Ø110 mm &lt; Ledningsnet ≤ Ø 250 mm</t>
  </si>
  <si>
    <t>SRO-brønd/kvarterbrønd/sektionsbrønd, Mek./EL</t>
  </si>
  <si>
    <t>15</t>
  </si>
  <si>
    <t>Elanlæg - vandværk</t>
  </si>
  <si>
    <t>25</t>
  </si>
  <si>
    <t>Ingen engangstillæg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</si>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</sst>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7" borderId="1" xfId="0" applyNumberFormat="1" applyFont="1" applyFill="1" applyBorder="1" applyProtection="1">
      <protection locked="0"/>
    </xf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3" fontId="8" fillId="4" borderId="1" xfId="0" applyNumberFormat="1" applyFont="1" applyFill="1" applyBorder="1" applyProtection="1">
      <protection locked="0"/>
    </xf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8" fillId="7" borderId="1" xfId="0" applyFont="1" applyFill="1" applyBorder="1" applyAlignment="1" applyProtection="1">
      <alignment wrapText="1"/>
    </xf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>
      <alignment wrapText="1"/>
      <protection locked="0"/>
    </xf>
    <xf numFmtId="0" fontId="7" fillId="3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1" t="s">
        <v>131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83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15</v>
      </c>
      <c r="D14" s="66" t="s">
        <v>132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37</v>
      </c>
      <c r="D15" s="66" t="s">
        <v>47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38</v>
      </c>
      <c r="D16" s="66" t="s">
        <v>84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79</v>
      </c>
      <c r="D17" s="66" t="s">
        <v>85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7</v>
      </c>
      <c r="D18" s="63" t="s">
        <v>12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8</v>
      </c>
      <c r="D19" s="57" t="s">
        <v>86</v>
      </c>
      <c r="E19" s="58"/>
      <c r="F19" s="58"/>
      <c r="G19" s="59"/>
      <c r="H19" s="1"/>
      <c r="I19" s="1"/>
    </row>
    <row r="20" spans="1:9" x14ac:dyDescent="0.25">
      <c r="A20" s="1"/>
      <c r="B20" s="1"/>
      <c r="C20" s="6" t="s">
        <v>74</v>
      </c>
      <c r="D20" s="57" t="s">
        <v>39</v>
      </c>
      <c r="E20" s="58"/>
      <c r="F20" s="58"/>
      <c r="G20" s="59"/>
      <c r="H20" s="1"/>
      <c r="I20" s="1"/>
    </row>
    <row r="21" spans="1:9" x14ac:dyDescent="0.25">
      <c r="A21" s="1"/>
      <c r="B21" s="1"/>
      <c r="C21" s="6" t="s">
        <v>121</v>
      </c>
      <c r="D21" s="57" t="s">
        <v>51</v>
      </c>
      <c r="E21" s="58"/>
      <c r="F21" s="58"/>
      <c r="G21" s="59"/>
      <c r="H21" s="1"/>
      <c r="I21" s="1"/>
    </row>
    <row r="22" spans="1:9" x14ac:dyDescent="0.25">
      <c r="A22" s="1"/>
      <c r="B22" s="1"/>
      <c r="C22" s="6" t="s">
        <v>122</v>
      </c>
      <c r="D22" s="57" t="s">
        <v>52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123</v>
      </c>
      <c r="D23" s="57" t="s">
        <v>87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40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61</v>
      </c>
      <c r="D25" s="60" t="s">
        <v>75</v>
      </c>
      <c r="E25" s="61"/>
      <c r="F25" s="61"/>
      <c r="G25" s="6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wqlJqptl+HmR4KV0btqrc2hQs/uSmiYkhO285ED+DT/5V97ermhtdyAySdt1dZjimO4GkIt1UFnon/U/5jG7g==" saltValue="VV+wQRXyMalIaxH7EPyWT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140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2" t="s">
        <v>48</v>
      </c>
      <c r="C8" s="24"/>
      <c r="D8" s="24"/>
      <c r="E8" s="24"/>
      <c r="F8" s="53"/>
      <c r="G8" s="1"/>
    </row>
    <row r="9" spans="1:7" ht="17.25" customHeight="1" x14ac:dyDescent="0.25">
      <c r="A9" s="1"/>
      <c r="B9" s="41" t="s">
        <v>16</v>
      </c>
      <c r="C9" s="41" t="s">
        <v>11</v>
      </c>
      <c r="D9" s="42"/>
      <c r="E9" s="41" t="s">
        <v>31</v>
      </c>
      <c r="F9" s="51"/>
      <c r="G9" s="1"/>
    </row>
    <row r="10" spans="1:7" x14ac:dyDescent="0.25">
      <c r="A10" s="1"/>
      <c r="B10" s="21" t="s">
        <v>119</v>
      </c>
      <c r="C10" s="20">
        <f>'Fane 6. Anlægsprojekter'!F14</f>
        <v>0</v>
      </c>
      <c r="D10" s="12" t="s">
        <v>3</v>
      </c>
      <c r="E10" s="8">
        <f>SUM('Fane 6. Anlægsprojekter'!E14,'Fane 6. Anlægsprojekter'!G14)</f>
        <v>84985.386666666673</v>
      </c>
      <c r="F10" s="12" t="s">
        <v>3</v>
      </c>
      <c r="G10" s="1"/>
    </row>
    <row r="11" spans="1:7" x14ac:dyDescent="0.25">
      <c r="A11" s="1"/>
      <c r="B11" s="52" t="s">
        <v>42</v>
      </c>
      <c r="C11" s="10">
        <f>SUM(C10:C10)</f>
        <v>0</v>
      </c>
      <c r="D11" s="11" t="s">
        <v>3</v>
      </c>
      <c r="E11" s="10">
        <f>SUM(E10:E10)</f>
        <v>84985.386666666673</v>
      </c>
      <c r="F11" s="11" t="s">
        <v>3</v>
      </c>
      <c r="G11" s="1"/>
    </row>
    <row r="12" spans="1:7" x14ac:dyDescent="0.25">
      <c r="A12" s="1"/>
      <c r="B12" s="52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86022.208384000012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oDu7FS6xlRBFdvw2fF23CmmRl+WlVZQrndoFezoWxdOq1WS4Hp5RmN/INEMq19xpk84IFyb9/CXTh1QGLaBGjg==" saltValue="cjqDqYDjMU51KS4svHPNW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141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65</v>
      </c>
      <c r="C8" s="91"/>
      <c r="D8" s="91"/>
      <c r="E8" s="91"/>
      <c r="F8" s="92"/>
      <c r="G8" s="1"/>
    </row>
    <row r="9" spans="1:7" x14ac:dyDescent="0.25">
      <c r="A9" s="1"/>
      <c r="B9" s="41" t="s">
        <v>16</v>
      </c>
      <c r="C9" s="41" t="s">
        <v>11</v>
      </c>
      <c r="D9" s="42"/>
      <c r="E9" s="41" t="s">
        <v>31</v>
      </c>
      <c r="F9" s="51"/>
      <c r="G9" s="1"/>
    </row>
    <row r="10" spans="1:7" x14ac:dyDescent="0.25">
      <c r="A10" s="1"/>
      <c r="B10" s="21" t="s">
        <v>163</v>
      </c>
      <c r="C10" s="20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2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72</v>
      </c>
      <c r="C12" s="26">
        <f>-C11*'Fane 10. Nøgletal'!C18</f>
        <v>0</v>
      </c>
      <c r="D12" s="27" t="s">
        <v>3</v>
      </c>
      <c r="E12" s="26">
        <f>-E11*'Fane 10. Nøgletal'!C18</f>
        <v>0</v>
      </c>
      <c r="F12" s="27" t="s">
        <v>3</v>
      </c>
      <c r="G12" s="1"/>
    </row>
    <row r="13" spans="1:7" x14ac:dyDescent="0.25">
      <c r="A13" s="1"/>
      <c r="B13" s="52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0" t="s">
        <v>66</v>
      </c>
      <c r="C15" s="91"/>
      <c r="D15" s="91"/>
      <c r="E15" s="91"/>
      <c r="F15" s="92"/>
      <c r="G15" s="1"/>
    </row>
    <row r="16" spans="1:7" x14ac:dyDescent="0.25">
      <c r="A16" s="1"/>
      <c r="B16" s="41" t="s">
        <v>16</v>
      </c>
      <c r="C16" s="41" t="s">
        <v>11</v>
      </c>
      <c r="D16" s="42"/>
      <c r="E16" s="41" t="s">
        <v>31</v>
      </c>
      <c r="F16" s="51"/>
      <c r="G16" s="1"/>
    </row>
    <row r="17" spans="1:7" x14ac:dyDescent="0.25">
      <c r="A17" s="1"/>
      <c r="B17" s="21" t="s">
        <v>163</v>
      </c>
      <c r="C17" s="20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52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72</v>
      </c>
      <c r="C19" s="26">
        <f>-C18*'Fane 10. Nøgletal'!C18</f>
        <v>0</v>
      </c>
      <c r="D19" s="27" t="s">
        <v>3</v>
      </c>
      <c r="E19" s="26">
        <f>-E18*'Fane 10. Nøgletal'!C18</f>
        <v>0</v>
      </c>
      <c r="F19" s="27" t="s">
        <v>3</v>
      </c>
      <c r="G19" s="1"/>
    </row>
    <row r="20" spans="1:7" x14ac:dyDescent="0.25">
      <c r="A20" s="1"/>
      <c r="B20" s="52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0" t="s">
        <v>67</v>
      </c>
      <c r="C22" s="91"/>
      <c r="D22" s="91"/>
      <c r="E22" s="91"/>
      <c r="F22" s="92"/>
      <c r="G22" s="1"/>
    </row>
    <row r="23" spans="1:7" x14ac:dyDescent="0.25">
      <c r="A23" s="1"/>
      <c r="B23" s="41" t="s">
        <v>16</v>
      </c>
      <c r="C23" s="41" t="s">
        <v>11</v>
      </c>
      <c r="D23" s="42"/>
      <c r="E23" s="41" t="s">
        <v>31</v>
      </c>
      <c r="F23" s="51"/>
      <c r="G23" s="1"/>
    </row>
    <row r="24" spans="1:7" x14ac:dyDescent="0.25">
      <c r="A24" s="1"/>
      <c r="B24" s="21" t="s">
        <v>163</v>
      </c>
      <c r="C24" s="20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52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72</v>
      </c>
      <c r="C26" s="26">
        <f>-C25*'Fane 10. Nøgletal'!C18</f>
        <v>0</v>
      </c>
      <c r="D26" s="27" t="s">
        <v>3</v>
      </c>
      <c r="E26" s="26">
        <f>-E25*'Fane 10. Nøgletal'!C18</f>
        <v>0</v>
      </c>
      <c r="F26" s="27" t="s">
        <v>3</v>
      </c>
      <c r="G26" s="1"/>
    </row>
    <row r="27" spans="1:7" x14ac:dyDescent="0.25">
      <c r="A27" s="1"/>
      <c r="B27" s="52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0" t="s">
        <v>114</v>
      </c>
      <c r="C29" s="91"/>
      <c r="D29" s="91"/>
      <c r="E29" s="91"/>
      <c r="F29" s="92"/>
      <c r="G29" s="1"/>
    </row>
    <row r="30" spans="1:7" x14ac:dyDescent="0.25">
      <c r="A30" s="1"/>
      <c r="B30" s="41" t="s">
        <v>16</v>
      </c>
      <c r="C30" s="41" t="s">
        <v>11</v>
      </c>
      <c r="D30" s="42"/>
      <c r="E30" s="41" t="s">
        <v>31</v>
      </c>
      <c r="F30" s="51"/>
      <c r="G30" s="1"/>
    </row>
    <row r="31" spans="1:7" x14ac:dyDescent="0.25">
      <c r="A31" s="1"/>
      <c r="B31" s="21" t="s">
        <v>163</v>
      </c>
      <c r="C31" s="20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52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72</v>
      </c>
      <c r="C33" s="26">
        <f>-C32*'Fane 10. Nøgletal'!C18</f>
        <v>0</v>
      </c>
      <c r="D33" s="27" t="s">
        <v>3</v>
      </c>
      <c r="E33" s="26">
        <f>-E32*'Fane 10. Nøgletal'!C18</f>
        <v>0</v>
      </c>
      <c r="F33" s="27" t="s">
        <v>3</v>
      </c>
      <c r="G33" s="1"/>
    </row>
    <row r="34" spans="1:7" x14ac:dyDescent="0.25">
      <c r="A34" s="1"/>
      <c r="B34" s="52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/0CNgHiAgrzc1bHixkmlEPPKngetkO2OEg3NoYwGiTt4riTpptf8BAGK+5LUu9RXm9Gr0ej6tqjfk/SntYUctA==" saltValue="CxnspLQjGpQuNJeApXryi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142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106</v>
      </c>
      <c r="C8" s="91"/>
      <c r="D8" s="91"/>
      <c r="E8" s="91"/>
      <c r="F8" s="92"/>
      <c r="G8" s="1"/>
    </row>
    <row r="9" spans="1:7" ht="15" customHeight="1" x14ac:dyDescent="0.25">
      <c r="A9" s="1"/>
      <c r="B9" s="50" t="s">
        <v>115</v>
      </c>
      <c r="C9" s="100" t="s">
        <v>11</v>
      </c>
      <c r="D9" s="101"/>
      <c r="E9" s="100" t="s">
        <v>31</v>
      </c>
      <c r="F9" s="101"/>
      <c r="G9" s="1"/>
    </row>
    <row r="10" spans="1:7" x14ac:dyDescent="0.25">
      <c r="A10" s="1"/>
      <c r="B10" s="21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9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9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F0k3hDAUtsOSrGua/hKtW6kaVvkKpZlbxEUeskN4NIxKrQ9YJ8X2kWlLEv2nk9C+l3s5NybcWvZQD/etLYujMg==" saltValue="cqa7Nv6s8JpexkZ0vJJkz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143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59</v>
      </c>
      <c r="C8" s="91"/>
      <c r="D8" s="91"/>
      <c r="E8" s="91"/>
      <c r="F8" s="92"/>
      <c r="G8" s="1"/>
    </row>
    <row r="9" spans="1:7" ht="15" customHeight="1" x14ac:dyDescent="0.25">
      <c r="A9" s="1"/>
      <c r="B9" s="50" t="s">
        <v>17</v>
      </c>
      <c r="C9" s="50" t="s">
        <v>11</v>
      </c>
      <c r="D9" s="51"/>
      <c r="E9" s="50" t="s">
        <v>31</v>
      </c>
      <c r="F9" s="51"/>
      <c r="G9" s="1"/>
    </row>
    <row r="10" spans="1:7" x14ac:dyDescent="0.25">
      <c r="A10" s="1"/>
      <c r="B10" s="21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2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2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0" t="s">
        <v>58</v>
      </c>
      <c r="C14" s="91"/>
      <c r="D14" s="91"/>
      <c r="E14" s="91"/>
      <c r="F14" s="92"/>
      <c r="G14" s="1"/>
    </row>
    <row r="15" spans="1:7" ht="26.25" x14ac:dyDescent="0.25">
      <c r="A15" s="1"/>
      <c r="B15" s="50" t="s">
        <v>17</v>
      </c>
      <c r="C15" s="50" t="s">
        <v>11</v>
      </c>
      <c r="D15" s="51"/>
      <c r="E15" s="50" t="s">
        <v>31</v>
      </c>
      <c r="F15" s="51"/>
      <c r="G15" s="1"/>
    </row>
    <row r="16" spans="1:7" x14ac:dyDescent="0.25">
      <c r="A16" s="1"/>
      <c r="B16" s="21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2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2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0" t="s">
        <v>60</v>
      </c>
      <c r="C20" s="91"/>
      <c r="D20" s="91"/>
      <c r="E20" s="91"/>
      <c r="F20" s="92"/>
      <c r="G20" s="1"/>
    </row>
    <row r="21" spans="1:7" ht="26.25" x14ac:dyDescent="0.25">
      <c r="A21" s="1"/>
      <c r="B21" s="50" t="s">
        <v>17</v>
      </c>
      <c r="C21" s="50" t="s">
        <v>11</v>
      </c>
      <c r="D21" s="51"/>
      <c r="E21" s="50" t="s">
        <v>31</v>
      </c>
      <c r="F21" s="51"/>
      <c r="G21" s="1"/>
    </row>
    <row r="22" spans="1:7" x14ac:dyDescent="0.25">
      <c r="A22" s="1"/>
      <c r="B22" s="21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2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2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0" t="s">
        <v>109</v>
      </c>
      <c r="C26" s="91"/>
      <c r="D26" s="91"/>
      <c r="E26" s="91"/>
      <c r="F26" s="92"/>
      <c r="G26" s="1"/>
    </row>
    <row r="27" spans="1:7" ht="26.25" x14ac:dyDescent="0.25">
      <c r="A27" s="1"/>
      <c r="B27" s="50" t="s">
        <v>17</v>
      </c>
      <c r="C27" s="50" t="s">
        <v>11</v>
      </c>
      <c r="D27" s="51"/>
      <c r="E27" s="50" t="s">
        <v>31</v>
      </c>
      <c r="F27" s="51"/>
      <c r="G27" s="1"/>
    </row>
    <row r="28" spans="1:7" x14ac:dyDescent="0.25">
      <c r="A28" s="1"/>
      <c r="B28" s="21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2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2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/oDpA7wd5VvSPRbZha6acqz9SRlXveJ61I9WoEtMemSmFB5JNcjbPshNJQciH1qKV2h+yu1zgSRg4UGlakRHRQ==" saltValue="P7VYF1u6oGWrxjG3Sz+Nl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4" t="s">
        <v>144</v>
      </c>
      <c r="C3" s="74"/>
      <c r="D3" s="1"/>
    </row>
    <row r="4" spans="1:4" ht="25.5" customHeight="1" x14ac:dyDescent="0.25">
      <c r="A4" s="1"/>
      <c r="B4" s="74"/>
      <c r="C4" s="7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2" t="s">
        <v>14</v>
      </c>
      <c r="C8" s="53"/>
      <c r="D8" s="1"/>
    </row>
    <row r="9" spans="1:4" x14ac:dyDescent="0.25">
      <c r="A9" s="1"/>
      <c r="B9" s="28" t="s">
        <v>77</v>
      </c>
      <c r="C9" s="22">
        <v>1.2699999999999999E-2</v>
      </c>
      <c r="D9" s="1"/>
    </row>
    <row r="10" spans="1:4" x14ac:dyDescent="0.25">
      <c r="A10" s="1"/>
      <c r="B10" s="28" t="s">
        <v>22</v>
      </c>
      <c r="C10" s="22">
        <v>1.7500000000000002E-2</v>
      </c>
      <c r="D10" s="1"/>
    </row>
    <row r="11" spans="1:4" x14ac:dyDescent="0.25">
      <c r="A11" s="1"/>
      <c r="B11" s="28" t="s">
        <v>23</v>
      </c>
      <c r="C11" s="22">
        <v>1.6899999999999998E-2</v>
      </c>
      <c r="D11" s="1"/>
    </row>
    <row r="12" spans="1:4" x14ac:dyDescent="0.25">
      <c r="A12" s="1"/>
      <c r="B12" s="30" t="s">
        <v>41</v>
      </c>
      <c r="C12" s="31">
        <v>1.9699999999999999E-2</v>
      </c>
      <c r="D12" s="1"/>
    </row>
    <row r="13" spans="1:4" x14ac:dyDescent="0.25">
      <c r="A13" s="1"/>
      <c r="B13" s="30" t="s">
        <v>111</v>
      </c>
      <c r="C13" s="31">
        <v>1.2200000000000001E-2</v>
      </c>
      <c r="D13" s="1"/>
    </row>
    <row r="14" spans="1:4" x14ac:dyDescent="0.25">
      <c r="A14" s="1"/>
      <c r="B14" s="52"/>
      <c r="C14" s="53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52" t="s">
        <v>72</v>
      </c>
      <c r="C17" s="53"/>
      <c r="D17" s="1"/>
    </row>
    <row r="18" spans="1:4" x14ac:dyDescent="0.25">
      <c r="A18" s="1"/>
      <c r="B18" s="28" t="s">
        <v>78</v>
      </c>
      <c r="C18" s="22">
        <v>1.7000000000000001E-2</v>
      </c>
      <c r="D18" s="1"/>
    </row>
    <row r="19" spans="1:4" x14ac:dyDescent="0.25">
      <c r="A19" s="1"/>
      <c r="B19" s="102"/>
      <c r="C19" s="10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oTCT1ylttOrZd+XKjMGOtv7yrxOuktW1A2IgBkkDQ6ztNGzcXqfjpRyDBgyC/Ix5e5YsXjitoioxLvMuXtiFxQ==" saltValue="GcPot5zO/2ElNql05oOg9Q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88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13</v>
      </c>
      <c r="C8" s="45"/>
      <c r="D8" s="45"/>
      <c r="E8" s="45"/>
      <c r="F8" s="45"/>
      <c r="G8" s="1"/>
    </row>
    <row r="9" spans="1:7" x14ac:dyDescent="0.25">
      <c r="A9" s="1"/>
      <c r="B9" s="48" t="s">
        <v>26</v>
      </c>
      <c r="C9" s="48"/>
      <c r="D9" s="48"/>
      <c r="E9" s="7">
        <f>'Fane 3. Omkostninger i ØR2020'!E16</f>
        <v>10406986.745788161</v>
      </c>
      <c r="F9" s="48" t="s">
        <v>3</v>
      </c>
      <c r="G9" s="1"/>
    </row>
    <row r="10" spans="1:7" x14ac:dyDescent="0.25">
      <c r="A10" s="1"/>
      <c r="B10" s="48" t="s">
        <v>164</v>
      </c>
      <c r="C10" s="48"/>
      <c r="D10" s="48"/>
      <c r="E10" s="7">
        <v>-8062.7707545524954</v>
      </c>
      <c r="F10" s="48" t="s">
        <v>3</v>
      </c>
      <c r="G10" s="1"/>
    </row>
    <row r="11" spans="1:7" ht="17.100000000000001" customHeight="1" x14ac:dyDescent="0.25">
      <c r="A11" s="1"/>
      <c r="B11" s="48" t="s">
        <v>120</v>
      </c>
      <c r="C11" s="48"/>
      <c r="D11" s="48"/>
      <c r="E11" s="7">
        <v>68704.393143301306</v>
      </c>
      <c r="F11" s="48" t="s">
        <v>3</v>
      </c>
      <c r="G11" s="1"/>
    </row>
    <row r="12" spans="1:7" ht="17.100000000000001" customHeight="1" x14ac:dyDescent="0.25">
      <c r="A12" s="1"/>
      <c r="B12" s="29" t="s">
        <v>80</v>
      </c>
      <c r="C12" s="48"/>
      <c r="D12" s="48"/>
      <c r="E12" s="7">
        <f>'Fane 7.1. Varige tillæg'!C12+'Fane 7.1. Varige tillæg'!E12</f>
        <v>86022.208384000012</v>
      </c>
      <c r="F12" s="48" t="s">
        <v>3</v>
      </c>
      <c r="G12" s="1"/>
    </row>
    <row r="13" spans="1:7" ht="17.100000000000001" customHeight="1" x14ac:dyDescent="0.25">
      <c r="A13" s="1"/>
      <c r="B13" s="29" t="s">
        <v>82</v>
      </c>
      <c r="C13" s="48"/>
      <c r="D13" s="48"/>
      <c r="E13" s="8">
        <f>-('Fane 9. Bortfald'!C12+'Fane 9. Bortfald'!E12)</f>
        <v>0</v>
      </c>
      <c r="F13" s="48" t="s">
        <v>3</v>
      </c>
      <c r="G13" s="1"/>
    </row>
    <row r="14" spans="1:7" ht="17.100000000000001" customHeight="1" x14ac:dyDescent="0.25">
      <c r="A14" s="1"/>
      <c r="B14" s="29" t="s">
        <v>89</v>
      </c>
      <c r="C14" s="48"/>
      <c r="D14" s="48"/>
      <c r="E14" s="8">
        <f>'Fane 8. Tilknyttet virksomhed'!C12+'Fane 8. Tilknyttet virksomhed'!E12</f>
        <v>0</v>
      </c>
      <c r="F14" s="48" t="s">
        <v>3</v>
      </c>
      <c r="G14" s="1"/>
    </row>
    <row r="15" spans="1:7" ht="17.100000000000001" customHeight="1" x14ac:dyDescent="0.25">
      <c r="A15" s="1"/>
      <c r="B15" s="29" t="s">
        <v>18</v>
      </c>
      <c r="C15" s="48"/>
      <c r="D15" s="48"/>
      <c r="E15" s="8">
        <f>SUM(E9:E14)*'Fane 10. Nøgletal'!C13</f>
        <v>128754.5370340431</v>
      </c>
      <c r="F15" s="48" t="s">
        <v>3</v>
      </c>
      <c r="G15" s="1"/>
    </row>
    <row r="16" spans="1:7" ht="17.100000000000001" customHeight="1" x14ac:dyDescent="0.25">
      <c r="A16" s="1"/>
      <c r="B16" s="29" t="s">
        <v>72</v>
      </c>
      <c r="C16" s="48"/>
      <c r="D16" s="48"/>
      <c r="E16" s="8">
        <f>-SUM(E9:E15)*'Fane 10. Nøgletal'!C18</f>
        <v>-181600.88693111419</v>
      </c>
      <c r="F16" s="48" t="s">
        <v>3</v>
      </c>
      <c r="G16" s="1"/>
    </row>
    <row r="17" spans="1:7" ht="15" customHeight="1" x14ac:dyDescent="0.25">
      <c r="A17" s="1"/>
      <c r="B17" s="49" t="s">
        <v>20</v>
      </c>
      <c r="C17" s="44"/>
      <c r="D17" s="44"/>
      <c r="E17" s="9">
        <f>SUM(E9:E16)</f>
        <v>10500804.226663837</v>
      </c>
      <c r="F17" s="46" t="s">
        <v>3</v>
      </c>
      <c r="G17" s="1"/>
    </row>
    <row r="18" spans="1:7" ht="15" customHeight="1" x14ac:dyDescent="0.25">
      <c r="A18" s="1"/>
      <c r="B18" s="45" t="s">
        <v>12</v>
      </c>
      <c r="C18" s="45"/>
      <c r="D18" s="45"/>
      <c r="E18" s="45"/>
      <c r="F18" s="45"/>
      <c r="G18" s="1"/>
    </row>
    <row r="19" spans="1:7" ht="15" customHeight="1" x14ac:dyDescent="0.25">
      <c r="A19" s="1"/>
      <c r="B19" s="46" t="s">
        <v>12</v>
      </c>
      <c r="C19" s="46"/>
      <c r="D19" s="46"/>
      <c r="E19" s="9">
        <f>'Fane 4. Ikke-påvirkelige omk.'!C15</f>
        <v>4828870.6599981841</v>
      </c>
      <c r="F19" s="46" t="s">
        <v>3</v>
      </c>
      <c r="G19" s="1"/>
    </row>
    <row r="20" spans="1:7" ht="15" customHeight="1" x14ac:dyDescent="0.25">
      <c r="A20" s="1"/>
      <c r="B20" s="45" t="s">
        <v>52</v>
      </c>
      <c r="C20" s="45"/>
      <c r="D20" s="45"/>
      <c r="E20" s="45"/>
      <c r="F20" s="45"/>
      <c r="G20" s="1"/>
    </row>
    <row r="21" spans="1:7" ht="15" customHeight="1" x14ac:dyDescent="0.25">
      <c r="A21" s="1"/>
      <c r="B21" s="29" t="s">
        <v>49</v>
      </c>
      <c r="C21" s="48"/>
      <c r="D21" s="48"/>
      <c r="E21" s="8">
        <f>'Fane 7.2. Engangstillæg'!C13</f>
        <v>0</v>
      </c>
      <c r="F21" s="48" t="s">
        <v>3</v>
      </c>
      <c r="G21" s="1"/>
    </row>
    <row r="22" spans="1:7" x14ac:dyDescent="0.25">
      <c r="A22" s="1"/>
      <c r="B22" s="29" t="s">
        <v>50</v>
      </c>
      <c r="C22" s="48"/>
      <c r="D22" s="48"/>
      <c r="E22" s="8">
        <f>'Fane 7.2. Engangstillæg'!E13</f>
        <v>0</v>
      </c>
      <c r="F22" s="48" t="s">
        <v>3</v>
      </c>
      <c r="G22" s="1"/>
    </row>
    <row r="23" spans="1:7" ht="15" customHeight="1" x14ac:dyDescent="0.25">
      <c r="A23" s="1"/>
      <c r="B23" s="49" t="s">
        <v>53</v>
      </c>
      <c r="C23" s="44"/>
      <c r="D23" s="44"/>
      <c r="E23" s="9">
        <f>SUM(E21:E22)</f>
        <v>0</v>
      </c>
      <c r="F23" s="46" t="s">
        <v>3</v>
      </c>
      <c r="G23" s="1"/>
    </row>
    <row r="24" spans="1:7" x14ac:dyDescent="0.25">
      <c r="A24" s="1"/>
      <c r="B24" s="45" t="s">
        <v>124</v>
      </c>
      <c r="C24" s="45"/>
      <c r="D24" s="45"/>
      <c r="E24" s="45"/>
      <c r="F24" s="45"/>
      <c r="G24" s="1"/>
    </row>
    <row r="25" spans="1:7" x14ac:dyDescent="0.25">
      <c r="A25" s="1"/>
      <c r="B25" s="49" t="s">
        <v>36</v>
      </c>
      <c r="C25" s="44"/>
      <c r="D25" s="44"/>
      <c r="E25" s="9">
        <f>'Fane 5. Kontrol af ØR2019'!E42</f>
        <v>-112529.12265713335</v>
      </c>
      <c r="F25" s="46" t="s">
        <v>3</v>
      </c>
      <c r="G25" s="1"/>
    </row>
    <row r="26" spans="1:7" x14ac:dyDescent="0.25">
      <c r="A26" s="1"/>
      <c r="B26" s="40" t="s">
        <v>125</v>
      </c>
      <c r="C26" s="44"/>
      <c r="D26" s="44"/>
      <c r="E26" s="9">
        <f>'Fane 5. Kontrol af ØR2019'!E43</f>
        <v>0</v>
      </c>
      <c r="F26" s="46" t="s">
        <v>3</v>
      </c>
      <c r="G26" s="1"/>
    </row>
    <row r="27" spans="1:7" x14ac:dyDescent="0.25">
      <c r="A27" s="1"/>
      <c r="B27" s="45" t="s">
        <v>165</v>
      </c>
      <c r="C27" s="45"/>
      <c r="D27" s="45"/>
      <c r="E27" s="45"/>
      <c r="F27" s="45"/>
      <c r="G27" s="1"/>
    </row>
    <row r="28" spans="1:7" x14ac:dyDescent="0.25">
      <c r="A28" s="1"/>
      <c r="B28" s="40" t="s">
        <v>166</v>
      </c>
      <c r="C28" s="44"/>
      <c r="D28" s="44"/>
      <c r="E28" s="9">
        <v>561.55690988433685</v>
      </c>
      <c r="F28" s="46" t="s">
        <v>3</v>
      </c>
      <c r="G28" s="1"/>
    </row>
    <row r="29" spans="1:7" x14ac:dyDescent="0.25">
      <c r="A29" s="1"/>
      <c r="B29" s="45" t="s">
        <v>28</v>
      </c>
      <c r="C29" s="45"/>
      <c r="D29" s="45"/>
      <c r="E29" s="10">
        <f>SUM(E17,E19,E23,E25,E26,E28)</f>
        <v>15217707.320914773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9iWjOISJQfwxRBlHJgATwuG/neMmUeyBO1vMuyuO6rOhLdUijMeEr6C7L8h9b93A6iiuJOlJfh9PAI0PcDrjGA==" saltValue="IZsvYMQAd3HjHFiqAPvVV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90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73"/>
      <c r="C5" s="73"/>
      <c r="D5" s="73"/>
      <c r="E5" s="73"/>
      <c r="F5" s="7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13</v>
      </c>
      <c r="C8" s="45"/>
      <c r="D8" s="45"/>
      <c r="E8" s="45"/>
      <c r="F8" s="45"/>
      <c r="G8" s="1"/>
    </row>
    <row r="9" spans="1:7" ht="15" customHeight="1" x14ac:dyDescent="0.25">
      <c r="A9" s="1"/>
      <c r="B9" s="48" t="s">
        <v>27</v>
      </c>
      <c r="C9" s="48"/>
      <c r="D9" s="48"/>
      <c r="E9" s="7">
        <f>'Fane 2.1. Økonomisk ramme 2021'!E17</f>
        <v>10500804.226663837</v>
      </c>
      <c r="F9" s="48" t="s">
        <v>3</v>
      </c>
      <c r="G9" s="1"/>
    </row>
    <row r="10" spans="1:7" ht="15" customHeight="1" x14ac:dyDescent="0.25">
      <c r="A10" s="1"/>
      <c r="B10" s="29" t="s">
        <v>82</v>
      </c>
      <c r="C10" s="48"/>
      <c r="D10" s="48"/>
      <c r="E10" s="7">
        <f>-('Fane 9. Bortfald'!C18+'Fane 9. Bortfald'!E18)</f>
        <v>0</v>
      </c>
      <c r="F10" s="48" t="s">
        <v>3</v>
      </c>
      <c r="G10" s="1"/>
    </row>
    <row r="11" spans="1:7" ht="15" customHeight="1" x14ac:dyDescent="0.25">
      <c r="A11" s="1"/>
      <c r="B11" s="43" t="s">
        <v>18</v>
      </c>
      <c r="C11" s="48"/>
      <c r="D11" s="48"/>
      <c r="E11" s="8">
        <f>SUM(E9:E10)*'Fane 10. Nøgletal'!C13</f>
        <v>128109.81156529882</v>
      </c>
      <c r="F11" s="48" t="s">
        <v>3</v>
      </c>
      <c r="G11" s="1"/>
    </row>
    <row r="12" spans="1:7" ht="15" customHeight="1" x14ac:dyDescent="0.25">
      <c r="A12" s="1"/>
      <c r="B12" s="43" t="s">
        <v>72</v>
      </c>
      <c r="C12" s="48"/>
      <c r="D12" s="48"/>
      <c r="E12" s="8">
        <f>-SUM(E9:E11)*'Fane 10. Nøgletal'!C18</f>
        <v>-180691.53864989532</v>
      </c>
      <c r="F12" s="48" t="s">
        <v>3</v>
      </c>
      <c r="G12" s="1"/>
    </row>
    <row r="13" spans="1:7" ht="15" customHeight="1" x14ac:dyDescent="0.25">
      <c r="A13" s="1"/>
      <c r="B13" s="44" t="s">
        <v>20</v>
      </c>
      <c r="C13" s="44"/>
      <c r="D13" s="44"/>
      <c r="E13" s="9">
        <f>SUM(E9:E12)</f>
        <v>10448222.49957924</v>
      </c>
      <c r="F13" s="46" t="s">
        <v>3</v>
      </c>
      <c r="G13" s="1"/>
    </row>
    <row r="14" spans="1:7" x14ac:dyDescent="0.25">
      <c r="A14" s="1"/>
      <c r="B14" s="45" t="s">
        <v>12</v>
      </c>
      <c r="C14" s="45"/>
      <c r="D14" s="45"/>
      <c r="E14" s="45"/>
      <c r="F14" s="45"/>
      <c r="G14" s="1"/>
    </row>
    <row r="15" spans="1:7" ht="15" customHeight="1" x14ac:dyDescent="0.25">
      <c r="A15" s="1"/>
      <c r="B15" s="46" t="s">
        <v>12</v>
      </c>
      <c r="C15" s="46"/>
      <c r="D15" s="46"/>
      <c r="E15" s="9">
        <f>'Fane 4. Ikke-påvirkelige omk.'!C15*(1+'Fane 10. Nøgletal'!C13)</f>
        <v>4887782.8820501622</v>
      </c>
      <c r="F15" s="46" t="s">
        <v>3</v>
      </c>
      <c r="G15" s="1"/>
    </row>
    <row r="16" spans="1:7" ht="15" customHeight="1" x14ac:dyDescent="0.25">
      <c r="A16" s="1"/>
      <c r="B16" s="45" t="s">
        <v>52</v>
      </c>
      <c r="C16" s="45"/>
      <c r="D16" s="45"/>
      <c r="E16" s="45"/>
      <c r="F16" s="45"/>
      <c r="G16" s="1"/>
    </row>
    <row r="17" spans="1:7" ht="15" customHeight="1" x14ac:dyDescent="0.25">
      <c r="A17" s="1"/>
      <c r="B17" s="29" t="s">
        <v>49</v>
      </c>
      <c r="C17" s="48"/>
      <c r="D17" s="48"/>
      <c r="E17" s="8">
        <f>'Fane 7.2. Engangstillæg'!C20</f>
        <v>0</v>
      </c>
      <c r="F17" s="48" t="s">
        <v>3</v>
      </c>
      <c r="G17" s="1"/>
    </row>
    <row r="18" spans="1:7" ht="15" customHeight="1" x14ac:dyDescent="0.25">
      <c r="A18" s="1"/>
      <c r="B18" s="29" t="s">
        <v>50</v>
      </c>
      <c r="C18" s="48"/>
      <c r="D18" s="48"/>
      <c r="E18" s="8">
        <f>'Fane 7.2. Engangstillæg'!E20</f>
        <v>0</v>
      </c>
      <c r="F18" s="48" t="s">
        <v>3</v>
      </c>
      <c r="G18" s="1"/>
    </row>
    <row r="19" spans="1:7" ht="15" customHeight="1" x14ac:dyDescent="0.25">
      <c r="A19" s="1"/>
      <c r="B19" s="49" t="s">
        <v>53</v>
      </c>
      <c r="C19" s="44"/>
      <c r="D19" s="44"/>
      <c r="E19" s="9">
        <f>SUM(E17:E18)</f>
        <v>0</v>
      </c>
      <c r="F19" s="46" t="s">
        <v>3</v>
      </c>
      <c r="G19" s="1"/>
    </row>
    <row r="20" spans="1:7" x14ac:dyDescent="0.25">
      <c r="A20" s="1"/>
      <c r="B20" s="45" t="s">
        <v>124</v>
      </c>
      <c r="C20" s="45"/>
      <c r="D20" s="45"/>
      <c r="E20" s="45"/>
      <c r="F20" s="45"/>
      <c r="G20" s="1"/>
    </row>
    <row r="21" spans="1:7" ht="15" customHeight="1" x14ac:dyDescent="0.25">
      <c r="A21" s="1"/>
      <c r="B21" s="46" t="s">
        <v>36</v>
      </c>
      <c r="C21" s="46"/>
      <c r="D21" s="46"/>
      <c r="E21" s="9">
        <f>'Fane 5. Kontrol af ØR2019'!E42</f>
        <v>-112529.12265713335</v>
      </c>
      <c r="F21" s="46" t="s">
        <v>3</v>
      </c>
      <c r="G21" s="1"/>
    </row>
    <row r="22" spans="1:7" x14ac:dyDescent="0.25">
      <c r="A22" s="1"/>
      <c r="B22" s="49" t="s">
        <v>125</v>
      </c>
      <c r="C22" s="46"/>
      <c r="D22" s="46"/>
      <c r="E22" s="9">
        <f>'Fane 5. Kontrol af ØR2019'!E43</f>
        <v>0</v>
      </c>
      <c r="F22" s="46" t="s">
        <v>3</v>
      </c>
      <c r="G22" s="1"/>
    </row>
    <row r="23" spans="1:7" x14ac:dyDescent="0.25">
      <c r="A23" s="1"/>
      <c r="B23" s="45" t="s">
        <v>29</v>
      </c>
      <c r="C23" s="45"/>
      <c r="D23" s="45"/>
      <c r="E23" s="10">
        <f>SUM(E13,E15,E19,E21,E22)</f>
        <v>15223476.258972269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PQJBNnSpmMXcMNSZmlFLEsulR5qeefzzzvHKgpLYzn8udiKdGwFleqFm+mTmOX0vFubVsn0lCb6I+CRdBz7oA==" saltValue="7lvpPyljJZvHWqLsL4TWD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91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73" t="s">
        <v>21</v>
      </c>
      <c r="C5" s="73"/>
      <c r="D5" s="73"/>
      <c r="E5" s="73"/>
      <c r="F5" s="7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5" t="s">
        <v>13</v>
      </c>
      <c r="C7" s="45"/>
      <c r="D7" s="45"/>
      <c r="E7" s="45"/>
      <c r="F7" s="45"/>
      <c r="G7" s="1"/>
    </row>
    <row r="8" spans="1:7" ht="15" customHeight="1" x14ac:dyDescent="0.25">
      <c r="A8" s="1"/>
      <c r="B8" s="48" t="s">
        <v>92</v>
      </c>
      <c r="C8" s="48"/>
      <c r="D8" s="48"/>
      <c r="E8" s="7">
        <f>'Fane 2.2. Økonomisk ramme 2022'!E13</f>
        <v>10448222.49957924</v>
      </c>
      <c r="F8" s="48" t="s">
        <v>3</v>
      </c>
      <c r="G8" s="1"/>
    </row>
    <row r="9" spans="1:7" ht="15" customHeight="1" x14ac:dyDescent="0.25">
      <c r="A9" s="1"/>
      <c r="B9" s="48" t="s">
        <v>82</v>
      </c>
      <c r="C9" s="48"/>
      <c r="D9" s="48"/>
      <c r="E9" s="7">
        <f>-('Fane 9. Bortfald'!C24+'Fane 9. Bortfald'!E24)</f>
        <v>0</v>
      </c>
      <c r="F9" s="48" t="s">
        <v>3</v>
      </c>
      <c r="G9" s="1"/>
    </row>
    <row r="10" spans="1:7" ht="15" customHeight="1" x14ac:dyDescent="0.25">
      <c r="A10" s="1"/>
      <c r="B10" s="43" t="s">
        <v>18</v>
      </c>
      <c r="C10" s="48"/>
      <c r="D10" s="48"/>
      <c r="E10" s="8">
        <f>SUM(E8:E9)*'Fane 10. Nøgletal'!C13</f>
        <v>127468.31449486673</v>
      </c>
      <c r="F10" s="48" t="s">
        <v>3</v>
      </c>
      <c r="G10" s="1"/>
    </row>
    <row r="11" spans="1:7" ht="15" customHeight="1" x14ac:dyDescent="0.25">
      <c r="A11" s="1"/>
      <c r="B11" s="43" t="s">
        <v>72</v>
      </c>
      <c r="C11" s="48"/>
      <c r="D11" s="48"/>
      <c r="E11" s="8">
        <f>-SUM(E8:E10)*'Fane 10. Nøgletal'!C18</f>
        <v>-179786.74383925981</v>
      </c>
      <c r="F11" s="48" t="s">
        <v>3</v>
      </c>
      <c r="G11" s="1"/>
    </row>
    <row r="12" spans="1:7" x14ac:dyDescent="0.25">
      <c r="A12" s="1"/>
      <c r="B12" s="44" t="s">
        <v>20</v>
      </c>
      <c r="C12" s="44"/>
      <c r="D12" s="44"/>
      <c r="E12" s="9">
        <f>SUM(E8:E11)</f>
        <v>10395904.070234846</v>
      </c>
      <c r="F12" s="46" t="s">
        <v>3</v>
      </c>
      <c r="G12" s="1"/>
    </row>
    <row r="13" spans="1:7" x14ac:dyDescent="0.25">
      <c r="A13" s="1"/>
      <c r="B13" s="45" t="s">
        <v>12</v>
      </c>
      <c r="C13" s="45"/>
      <c r="D13" s="45"/>
      <c r="E13" s="45"/>
      <c r="F13" s="45"/>
      <c r="G13" s="1"/>
    </row>
    <row r="14" spans="1:7" ht="15" customHeight="1" x14ac:dyDescent="0.25">
      <c r="A14" s="1"/>
      <c r="B14" s="46" t="s">
        <v>12</v>
      </c>
      <c r="C14" s="46"/>
      <c r="D14" s="46"/>
      <c r="E14" s="9">
        <f>'Fane 4. Ikke-påvirkelige omk.'!C15*(1+'Fane 10. Nøgletal'!C13)^2</f>
        <v>4947413.8332111742</v>
      </c>
      <c r="F14" s="46" t="s">
        <v>3</v>
      </c>
      <c r="G14" s="1"/>
    </row>
    <row r="15" spans="1:7" ht="15" customHeight="1" x14ac:dyDescent="0.25">
      <c r="A15" s="1"/>
      <c r="B15" s="45" t="s">
        <v>52</v>
      </c>
      <c r="C15" s="45"/>
      <c r="D15" s="45"/>
      <c r="E15" s="45"/>
      <c r="F15" s="45"/>
      <c r="G15" s="1"/>
    </row>
    <row r="16" spans="1:7" ht="15" customHeight="1" x14ac:dyDescent="0.25">
      <c r="A16" s="1"/>
      <c r="B16" s="29" t="s">
        <v>49</v>
      </c>
      <c r="C16" s="48"/>
      <c r="D16" s="48"/>
      <c r="E16" s="8">
        <f>'Fane 7.2. Engangstillæg'!C27</f>
        <v>0</v>
      </c>
      <c r="F16" s="48" t="s">
        <v>3</v>
      </c>
      <c r="G16" s="1"/>
    </row>
    <row r="17" spans="1:7" ht="15" customHeight="1" x14ac:dyDescent="0.25">
      <c r="A17" s="1"/>
      <c r="B17" s="29" t="s">
        <v>50</v>
      </c>
      <c r="C17" s="48"/>
      <c r="D17" s="48"/>
      <c r="E17" s="8">
        <f>'Fane 7.2. Engangstillæg'!E27</f>
        <v>0</v>
      </c>
      <c r="F17" s="48" t="s">
        <v>3</v>
      </c>
      <c r="G17" s="1"/>
    </row>
    <row r="18" spans="1:7" ht="15" customHeight="1" x14ac:dyDescent="0.25">
      <c r="A18" s="1"/>
      <c r="B18" s="49" t="s">
        <v>53</v>
      </c>
      <c r="C18" s="44"/>
      <c r="D18" s="44"/>
      <c r="E18" s="9">
        <f>SUM(E16:E17)</f>
        <v>0</v>
      </c>
      <c r="F18" s="46" t="s">
        <v>3</v>
      </c>
      <c r="G18" s="1"/>
    </row>
    <row r="19" spans="1:7" ht="15" customHeight="1" x14ac:dyDescent="0.25">
      <c r="A19" s="1"/>
      <c r="B19" s="45" t="s">
        <v>57</v>
      </c>
      <c r="C19" s="45"/>
      <c r="D19" s="45"/>
      <c r="E19" s="10">
        <f>SUM(E12,E14,E18)</f>
        <v>15343317.903446021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ZLnHtEbQvpmlrDIW2sKK62dWmqA5RVSzEKhhsTsHVX0FBhAIjvl+OdeteOsKHgxpe/VT4rLSB08w92LT2mb3g==" saltValue="0RqXWibz4D3IIM6cbjUq1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93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73" t="s">
        <v>21</v>
      </c>
      <c r="C5" s="73"/>
      <c r="D5" s="73"/>
      <c r="E5" s="73"/>
      <c r="F5" s="7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5" t="s">
        <v>13</v>
      </c>
      <c r="C7" s="45"/>
      <c r="D7" s="45"/>
      <c r="E7" s="45"/>
      <c r="F7" s="45"/>
      <c r="G7" s="1"/>
    </row>
    <row r="8" spans="1:7" ht="15" customHeight="1" x14ac:dyDescent="0.25">
      <c r="A8" s="1"/>
      <c r="B8" s="48" t="s">
        <v>94</v>
      </c>
      <c r="C8" s="48"/>
      <c r="D8" s="48"/>
      <c r="E8" s="7">
        <f>'Fane 2.3. Økonomisk ramme 2023'!E12</f>
        <v>10395904.070234846</v>
      </c>
      <c r="F8" s="48" t="s">
        <v>3</v>
      </c>
      <c r="G8" s="1"/>
    </row>
    <row r="9" spans="1:7" ht="15" customHeight="1" x14ac:dyDescent="0.25">
      <c r="A9" s="1"/>
      <c r="B9" s="48" t="s">
        <v>82</v>
      </c>
      <c r="C9" s="48"/>
      <c r="D9" s="48"/>
      <c r="E9" s="7">
        <f>-('Fane 9. Bortfald'!C30+'Fane 9. Bortfald'!E30)</f>
        <v>0</v>
      </c>
      <c r="F9" s="48" t="s">
        <v>3</v>
      </c>
      <c r="G9" s="1"/>
    </row>
    <row r="10" spans="1:7" ht="15" customHeight="1" x14ac:dyDescent="0.25">
      <c r="A10" s="1"/>
      <c r="B10" s="43" t="s">
        <v>18</v>
      </c>
      <c r="C10" s="48"/>
      <c r="D10" s="48"/>
      <c r="E10" s="8">
        <f>SUM(E8:E9)*'Fane 10. Nøgletal'!C13</f>
        <v>126830.02965686514</v>
      </c>
      <c r="F10" s="48" t="s">
        <v>3</v>
      </c>
      <c r="G10" s="1"/>
    </row>
    <row r="11" spans="1:7" ht="15" customHeight="1" x14ac:dyDescent="0.25">
      <c r="A11" s="1"/>
      <c r="B11" s="43" t="s">
        <v>72</v>
      </c>
      <c r="C11" s="48"/>
      <c r="D11" s="48"/>
      <c r="E11" s="8">
        <f>-SUM(E8:E10)*'Fane 10. Nøgletal'!C18</f>
        <v>-178886.47969815909</v>
      </c>
      <c r="F11" s="48" t="s">
        <v>3</v>
      </c>
      <c r="G11" s="1"/>
    </row>
    <row r="12" spans="1:7" x14ac:dyDescent="0.25">
      <c r="A12" s="1"/>
      <c r="B12" s="44" t="s">
        <v>20</v>
      </c>
      <c r="C12" s="44"/>
      <c r="D12" s="44"/>
      <c r="E12" s="9">
        <f>SUM(E8:E11)</f>
        <v>10343847.620193552</v>
      </c>
      <c r="F12" s="46" t="s">
        <v>3</v>
      </c>
      <c r="G12" s="1"/>
    </row>
    <row r="13" spans="1:7" x14ac:dyDescent="0.25">
      <c r="A13" s="1"/>
      <c r="B13" s="45" t="s">
        <v>12</v>
      </c>
      <c r="C13" s="45"/>
      <c r="D13" s="45"/>
      <c r="E13" s="45"/>
      <c r="F13" s="45"/>
      <c r="G13" s="1"/>
    </row>
    <row r="14" spans="1:7" ht="15" customHeight="1" x14ac:dyDescent="0.25">
      <c r="A14" s="1"/>
      <c r="B14" s="46" t="s">
        <v>12</v>
      </c>
      <c r="C14" s="46"/>
      <c r="D14" s="46"/>
      <c r="E14" s="9">
        <f>'Fane 4. Ikke-påvirkelige omk.'!C15*(1+'Fane 10. Nøgletal'!C13)^3</f>
        <v>5007772.2819763506</v>
      </c>
      <c r="F14" s="46" t="s">
        <v>3</v>
      </c>
      <c r="G14" s="1"/>
    </row>
    <row r="15" spans="1:7" ht="15" customHeight="1" x14ac:dyDescent="0.25">
      <c r="A15" s="1"/>
      <c r="B15" s="45" t="s">
        <v>52</v>
      </c>
      <c r="C15" s="45"/>
      <c r="D15" s="45"/>
      <c r="E15" s="45"/>
      <c r="F15" s="45"/>
      <c r="G15" s="1"/>
    </row>
    <row r="16" spans="1:7" ht="15" customHeight="1" x14ac:dyDescent="0.25">
      <c r="A16" s="1"/>
      <c r="B16" s="29" t="s">
        <v>49</v>
      </c>
      <c r="C16" s="48"/>
      <c r="D16" s="48"/>
      <c r="E16" s="8">
        <f>'Fane 7.2. Engangstillæg'!C34</f>
        <v>0</v>
      </c>
      <c r="F16" s="48" t="s">
        <v>3</v>
      </c>
      <c r="G16" s="1"/>
    </row>
    <row r="17" spans="1:7" ht="15" customHeight="1" x14ac:dyDescent="0.25">
      <c r="A17" s="1"/>
      <c r="B17" s="29" t="s">
        <v>50</v>
      </c>
      <c r="C17" s="48"/>
      <c r="D17" s="48"/>
      <c r="E17" s="8">
        <f>'Fane 7.2. Engangstillæg'!E34</f>
        <v>0</v>
      </c>
      <c r="F17" s="48" t="s">
        <v>3</v>
      </c>
      <c r="G17" s="1"/>
    </row>
    <row r="18" spans="1:7" ht="15" customHeight="1" x14ac:dyDescent="0.25">
      <c r="A18" s="1"/>
      <c r="B18" s="49" t="s">
        <v>53</v>
      </c>
      <c r="C18" s="44"/>
      <c r="D18" s="44"/>
      <c r="E18" s="9">
        <f>SUM(E16:E17)</f>
        <v>0</v>
      </c>
      <c r="F18" s="46" t="s">
        <v>3</v>
      </c>
      <c r="G18" s="1"/>
    </row>
    <row r="19" spans="1:7" ht="15" customHeight="1" x14ac:dyDescent="0.25">
      <c r="A19" s="1"/>
      <c r="B19" s="45" t="s">
        <v>95</v>
      </c>
      <c r="C19" s="45"/>
      <c r="D19" s="45"/>
      <c r="E19" s="10">
        <f>SUM(E12,E14,E18)</f>
        <v>15351619.902169902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/H58oLUvZlUGYYkE70EheRj9OoBHkACF9gl9D/xPHe8Z22tiI/nIDRdtK4HMWffs65Sd4cCMVTSi6lNOxBoaWA==" saltValue="C8Jdxh7Dzh4MvMgzshRHX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96</v>
      </c>
      <c r="C3" s="74"/>
      <c r="D3" s="74"/>
      <c r="E3" s="74"/>
      <c r="F3" s="74"/>
      <c r="G3" s="1"/>
    </row>
    <row r="4" spans="1:7" ht="29.2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4" t="s">
        <v>97</v>
      </c>
      <c r="C8" s="34"/>
      <c r="D8" s="34"/>
      <c r="E8" s="34"/>
      <c r="F8" s="34"/>
      <c r="G8" s="1"/>
    </row>
    <row r="9" spans="1:7" x14ac:dyDescent="0.25">
      <c r="A9" s="1"/>
      <c r="B9" s="75" t="s">
        <v>24</v>
      </c>
      <c r="C9" s="75"/>
      <c r="D9" s="75"/>
      <c r="E9" s="36">
        <v>10435980.612629052</v>
      </c>
      <c r="F9" s="33" t="s">
        <v>3</v>
      </c>
      <c r="G9" s="1"/>
    </row>
    <row r="10" spans="1:7" x14ac:dyDescent="0.25">
      <c r="A10" s="1"/>
      <c r="B10" s="76" t="s">
        <v>149</v>
      </c>
      <c r="C10" s="76"/>
      <c r="D10" s="76"/>
      <c r="E10" s="36">
        <v>0</v>
      </c>
      <c r="F10" s="39" t="s">
        <v>3</v>
      </c>
      <c r="G10" s="1"/>
    </row>
    <row r="11" spans="1:7" x14ac:dyDescent="0.25">
      <c r="A11" s="1"/>
      <c r="B11" s="76" t="s">
        <v>150</v>
      </c>
      <c r="C11" s="76"/>
      <c r="D11" s="76"/>
      <c r="E11" s="36">
        <v>59896.608655418109</v>
      </c>
      <c r="F11" s="39" t="s">
        <v>3</v>
      </c>
      <c r="G11" s="1"/>
    </row>
    <row r="12" spans="1:7" x14ac:dyDescent="0.25">
      <c r="A12" s="1"/>
      <c r="B12" s="76" t="s">
        <v>80</v>
      </c>
      <c r="C12" s="76"/>
      <c r="D12" s="76"/>
      <c r="E12" s="36">
        <v>17844.484877999999</v>
      </c>
      <c r="F12" s="33" t="s">
        <v>3</v>
      </c>
      <c r="G12" s="1"/>
    </row>
    <row r="13" spans="1:7" x14ac:dyDescent="0.25">
      <c r="A13" s="1"/>
      <c r="B13" s="76" t="s">
        <v>81</v>
      </c>
      <c r="C13" s="76"/>
      <c r="D13" s="76"/>
      <c r="E13" s="15">
        <v>0</v>
      </c>
      <c r="F13" s="33" t="s">
        <v>3</v>
      </c>
      <c r="G13" s="1"/>
    </row>
    <row r="14" spans="1:7" x14ac:dyDescent="0.25">
      <c r="A14" s="1"/>
      <c r="B14" s="76" t="s">
        <v>18</v>
      </c>
      <c r="C14" s="76"/>
      <c r="D14" s="76"/>
      <c r="E14" s="8">
        <f>(E9-SUM(E10:E11))*'Fane 10. Nøgletal'!C9+E10*'Fane 10. Nøgletal'!C10+E11*'Fane 10. Nøgletal'!C11+SUM(E12:E13)*'Fane 10. Nøgletal'!C12</f>
        <v>133140.05588883831</v>
      </c>
      <c r="F14" s="33" t="s">
        <v>3</v>
      </c>
      <c r="G14" s="1"/>
    </row>
    <row r="15" spans="1:7" x14ac:dyDescent="0.25">
      <c r="A15" s="1"/>
      <c r="B15" s="76" t="s">
        <v>72</v>
      </c>
      <c r="C15" s="76"/>
      <c r="D15" s="76"/>
      <c r="E15" s="8">
        <f>-SUM(E9:E9,E12:E14)*'Fane 10. Nøgletal'!C18</f>
        <v>-179978.40760773016</v>
      </c>
      <c r="F15" s="33" t="s">
        <v>3</v>
      </c>
      <c r="G15" s="1"/>
    </row>
    <row r="16" spans="1:7" x14ac:dyDescent="0.25">
      <c r="A16" s="1"/>
      <c r="B16" s="81" t="s">
        <v>20</v>
      </c>
      <c r="C16" s="81"/>
      <c r="D16" s="81"/>
      <c r="E16" s="9">
        <f>SUM(E9,E12:E15)</f>
        <v>10406986.745788161</v>
      </c>
      <c r="F16" s="35" t="s">
        <v>3</v>
      </c>
      <c r="G16" s="1"/>
    </row>
    <row r="17" spans="1:7" x14ac:dyDescent="0.25">
      <c r="A17" s="1"/>
      <c r="B17" s="82" t="s">
        <v>12</v>
      </c>
      <c r="C17" s="82"/>
      <c r="D17" s="82"/>
      <c r="E17" s="34"/>
      <c r="F17" s="34"/>
      <c r="G17" s="1"/>
    </row>
    <row r="18" spans="1:7" x14ac:dyDescent="0.25">
      <c r="A18" s="1"/>
      <c r="B18" s="83" t="s">
        <v>12</v>
      </c>
      <c r="C18" s="83"/>
      <c r="D18" s="83"/>
      <c r="E18" s="23">
        <v>5115456.9040419906</v>
      </c>
      <c r="F18" s="35" t="s">
        <v>3</v>
      </c>
      <c r="G18" s="1"/>
    </row>
    <row r="19" spans="1:7" x14ac:dyDescent="0.25">
      <c r="A19" s="1"/>
      <c r="B19" s="37" t="s">
        <v>52</v>
      </c>
      <c r="C19" s="37"/>
      <c r="D19" s="37"/>
      <c r="E19" s="34"/>
      <c r="F19" s="34"/>
      <c r="G19" s="1"/>
    </row>
    <row r="20" spans="1:7" ht="15.4" customHeight="1" x14ac:dyDescent="0.25">
      <c r="A20" s="1"/>
      <c r="B20" s="84" t="s">
        <v>49</v>
      </c>
      <c r="C20" s="85"/>
      <c r="D20" s="86"/>
      <c r="E20" s="38">
        <v>0</v>
      </c>
      <c r="F20" s="38" t="s">
        <v>3</v>
      </c>
      <c r="G20" s="1"/>
    </row>
    <row r="21" spans="1:7" ht="15.75" customHeight="1" x14ac:dyDescent="0.25">
      <c r="A21" s="1"/>
      <c r="B21" s="84" t="s">
        <v>50</v>
      </c>
      <c r="C21" s="85"/>
      <c r="D21" s="86"/>
      <c r="E21" s="38">
        <v>0</v>
      </c>
      <c r="F21" s="38" t="s">
        <v>3</v>
      </c>
      <c r="G21" s="1"/>
    </row>
    <row r="22" spans="1:7" x14ac:dyDescent="0.25">
      <c r="A22" s="1"/>
      <c r="B22" s="87" t="s">
        <v>53</v>
      </c>
      <c r="C22" s="88"/>
      <c r="D22" s="89"/>
      <c r="E22" s="23">
        <v>0</v>
      </c>
      <c r="F22" s="23" t="s">
        <v>3</v>
      </c>
      <c r="G22" s="1"/>
    </row>
    <row r="23" spans="1:7" x14ac:dyDescent="0.25">
      <c r="A23" s="1"/>
      <c r="B23" s="37" t="s">
        <v>145</v>
      </c>
      <c r="C23" s="37"/>
      <c r="D23" s="37"/>
      <c r="E23" s="37"/>
      <c r="F23" s="37"/>
      <c r="G23" s="1"/>
    </row>
    <row r="24" spans="1:7" ht="15.75" customHeight="1" x14ac:dyDescent="0.25">
      <c r="A24" s="1"/>
      <c r="B24" s="77" t="s">
        <v>146</v>
      </c>
      <c r="C24" s="78"/>
      <c r="D24" s="79"/>
      <c r="E24" s="23">
        <v>-1169959</v>
      </c>
      <c r="F24" s="23" t="s">
        <v>3</v>
      </c>
      <c r="G24" s="1"/>
    </row>
    <row r="25" spans="1:7" x14ac:dyDescent="0.25">
      <c r="A25" s="1"/>
      <c r="B25" s="37" t="s">
        <v>147</v>
      </c>
      <c r="C25" s="37"/>
      <c r="D25" s="37"/>
      <c r="E25" s="37"/>
      <c r="F25" s="37"/>
      <c r="G25" s="1"/>
    </row>
    <row r="26" spans="1:7" ht="15.4" customHeight="1" x14ac:dyDescent="0.25">
      <c r="A26" s="1"/>
      <c r="B26" s="77" t="s">
        <v>148</v>
      </c>
      <c r="C26" s="78"/>
      <c r="D26" s="79"/>
      <c r="E26" s="23">
        <v>0</v>
      </c>
      <c r="F26" s="35" t="s">
        <v>3</v>
      </c>
      <c r="G26" s="1"/>
    </row>
    <row r="27" spans="1:7" x14ac:dyDescent="0.25">
      <c r="A27" s="1"/>
      <c r="B27" s="37" t="s">
        <v>25</v>
      </c>
      <c r="C27" s="37"/>
      <c r="D27" s="37"/>
      <c r="E27" s="10">
        <f>E16+E18+E22+E24+E26</f>
        <v>14352484.649830151</v>
      </c>
      <c r="F27" s="11" t="s">
        <v>3</v>
      </c>
      <c r="G27" s="1"/>
    </row>
    <row r="28" spans="1:7" ht="28.5" customHeight="1" x14ac:dyDescent="0.25">
      <c r="A28" s="1"/>
      <c r="B28" s="80" t="s">
        <v>98</v>
      </c>
      <c r="C28" s="80"/>
      <c r="D28" s="80"/>
      <c r="E28" s="80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CcblhmON5Z9OewEJlixTjEJOlbqc6eZ2cEJ5Tm1HOgkZZvSZryI8y/6qpW43LlLLvo5PCy2e/eVtOduRLgoQLw==" saltValue="AF96WGXU5kM5TpaO/Am5K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69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0" t="s">
        <v>99</v>
      </c>
      <c r="C8" s="91"/>
      <c r="D8" s="92"/>
      <c r="E8" s="1"/>
      <c r="F8" s="1"/>
    </row>
    <row r="9" spans="1:6" ht="15" customHeight="1" x14ac:dyDescent="0.25">
      <c r="A9" s="1"/>
      <c r="B9" s="18" t="s">
        <v>32</v>
      </c>
      <c r="C9" s="46" t="s">
        <v>100</v>
      </c>
      <c r="D9" s="46"/>
      <c r="E9" s="1"/>
      <c r="F9" s="1"/>
    </row>
    <row r="10" spans="1:6" x14ac:dyDescent="0.25">
      <c r="A10" s="1"/>
      <c r="B10" s="28" t="s">
        <v>153</v>
      </c>
      <c r="C10" s="8">
        <v>4667713</v>
      </c>
      <c r="D10" s="12" t="s">
        <v>3</v>
      </c>
      <c r="E10" s="1"/>
      <c r="F10" s="1"/>
    </row>
    <row r="11" spans="1:6" x14ac:dyDescent="0.25">
      <c r="A11" s="1"/>
      <c r="B11" s="28" t="s">
        <v>154</v>
      </c>
      <c r="C11" s="8">
        <v>15673</v>
      </c>
      <c r="D11" s="12" t="s">
        <v>3</v>
      </c>
      <c r="E11" s="1"/>
      <c r="F11" s="1"/>
    </row>
    <row r="12" spans="1:6" x14ac:dyDescent="0.25">
      <c r="A12" s="1"/>
      <c r="B12" s="28" t="s">
        <v>155</v>
      </c>
      <c r="C12" s="8">
        <v>10487</v>
      </c>
      <c r="D12" s="12" t="s">
        <v>3</v>
      </c>
      <c r="E12" s="1"/>
      <c r="F12" s="1"/>
    </row>
    <row r="13" spans="1:6" x14ac:dyDescent="0.25">
      <c r="A13" s="1"/>
      <c r="B13" s="54" t="s">
        <v>167</v>
      </c>
      <c r="C13" s="8">
        <v>19294.856398318549</v>
      </c>
      <c r="D13" s="12" t="s">
        <v>3</v>
      </c>
      <c r="E13" s="1"/>
      <c r="F13" s="1"/>
    </row>
    <row r="14" spans="1:6" x14ac:dyDescent="0.25">
      <c r="A14" s="1"/>
      <c r="B14" s="52" t="s">
        <v>101</v>
      </c>
      <c r="C14" s="10">
        <f>SUM(C10:C13)</f>
        <v>4713167.8563983189</v>
      </c>
      <c r="D14" s="11" t="s">
        <v>3</v>
      </c>
      <c r="E14" s="1"/>
      <c r="F14" s="1"/>
    </row>
    <row r="15" spans="1:6" x14ac:dyDescent="0.25">
      <c r="A15" s="1"/>
      <c r="B15" s="52" t="s">
        <v>102</v>
      </c>
      <c r="C15" s="10">
        <f>C14*(1+'Fane 10. Nøgletal'!C13)^2</f>
        <v>4828870.6599981841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D8/RaZIe44oyIQPKTuimzC+4clX2ZNyDTS90xBRswUoBg4bweeM2cz/xsP1u8KtUMsk/+0HwOaWhgvW6AMuB5g==" saltValue="gkIUkZTEWtIclwuMDNC/C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4" t="s">
        <v>116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93" t="s">
        <v>36</v>
      </c>
      <c r="C6" s="93"/>
      <c r="D6" s="93"/>
      <c r="E6" s="93"/>
      <c r="F6" s="93"/>
      <c r="G6" s="1"/>
    </row>
    <row r="7" spans="1:7" ht="15" customHeight="1" x14ac:dyDescent="0.25">
      <c r="A7" s="1"/>
      <c r="B7" s="99" t="s">
        <v>34</v>
      </c>
      <c r="C7" s="99"/>
      <c r="D7" s="99"/>
      <c r="E7" s="8">
        <v>364546.71953333338</v>
      </c>
      <c r="F7" s="12" t="s">
        <v>3</v>
      </c>
      <c r="G7" s="1"/>
    </row>
    <row r="8" spans="1:7" ht="15" customHeight="1" x14ac:dyDescent="0.25">
      <c r="A8" s="1"/>
      <c r="B8" s="99" t="s">
        <v>35</v>
      </c>
      <c r="C8" s="99"/>
      <c r="D8" s="99"/>
      <c r="E8" s="8">
        <v>-589604.96484760009</v>
      </c>
      <c r="F8" s="12" t="s">
        <v>3</v>
      </c>
      <c r="G8" s="1"/>
    </row>
    <row r="9" spans="1:7" ht="15" customHeight="1" x14ac:dyDescent="0.25">
      <c r="A9" s="1"/>
      <c r="B9" s="87" t="s">
        <v>76</v>
      </c>
      <c r="C9" s="88"/>
      <c r="D9" s="89"/>
      <c r="E9" s="9">
        <f>SUM(E7:E8)</f>
        <v>-225058.24531426671</v>
      </c>
      <c r="F9" s="16" t="s">
        <v>3</v>
      </c>
      <c r="G9" s="1"/>
    </row>
    <row r="10" spans="1:7" ht="15" customHeight="1" x14ac:dyDescent="0.25">
      <c r="A10" s="1"/>
      <c r="B10" s="90"/>
      <c r="C10" s="91"/>
      <c r="D10" s="91"/>
      <c r="E10" s="91"/>
      <c r="F10" s="92"/>
      <c r="G10" s="1"/>
    </row>
    <row r="11" spans="1:7" ht="27" customHeight="1" x14ac:dyDescent="0.25">
      <c r="A11" s="1"/>
      <c r="B11" s="80" t="s">
        <v>71</v>
      </c>
      <c r="C11" s="80"/>
      <c r="D11" s="80"/>
      <c r="E11" s="80"/>
      <c r="F11" s="8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62</v>
      </c>
      <c r="C14" s="93"/>
      <c r="D14" s="93"/>
      <c r="E14" s="93"/>
      <c r="F14" s="93"/>
      <c r="G14" s="1"/>
    </row>
    <row r="15" spans="1:7" x14ac:dyDescent="0.25">
      <c r="A15" s="1"/>
      <c r="B15" s="99" t="s">
        <v>63</v>
      </c>
      <c r="C15" s="99"/>
      <c r="D15" s="99"/>
      <c r="E15" s="8">
        <v>14890075.70880314</v>
      </c>
      <c r="F15" s="12" t="s">
        <v>3</v>
      </c>
      <c r="G15" s="1"/>
    </row>
    <row r="16" spans="1:7" x14ac:dyDescent="0.25">
      <c r="A16" s="1"/>
      <c r="B16" s="99" t="s">
        <v>64</v>
      </c>
      <c r="C16" s="99"/>
      <c r="D16" s="99"/>
      <c r="E16" s="8">
        <v>13104848</v>
      </c>
      <c r="F16" s="12" t="s">
        <v>3</v>
      </c>
      <c r="G16" s="1"/>
    </row>
    <row r="17" spans="1:7" x14ac:dyDescent="0.25">
      <c r="A17" s="1"/>
      <c r="B17" s="99" t="s">
        <v>33</v>
      </c>
      <c r="C17" s="99"/>
      <c r="D17" s="99"/>
      <c r="E17" s="8">
        <v>0</v>
      </c>
      <c r="F17" s="12" t="s">
        <v>3</v>
      </c>
      <c r="G17" s="1"/>
    </row>
    <row r="18" spans="1:7" x14ac:dyDescent="0.25">
      <c r="A18" s="1"/>
      <c r="B18" s="94" t="s">
        <v>136</v>
      </c>
      <c r="C18" s="94"/>
      <c r="D18" s="94"/>
      <c r="E18" s="9">
        <f>E15-(E16-E17)</f>
        <v>1785227.7088031396</v>
      </c>
      <c r="F18" s="16" t="s">
        <v>3</v>
      </c>
      <c r="G18" s="1"/>
    </row>
    <row r="19" spans="1:7" x14ac:dyDescent="0.25">
      <c r="A19" s="1"/>
      <c r="B19" s="96"/>
      <c r="C19" s="97"/>
      <c r="D19" s="97"/>
      <c r="E19" s="97"/>
      <c r="F19" s="98"/>
      <c r="G19" s="1"/>
    </row>
    <row r="20" spans="1:7" ht="28.5" customHeight="1" x14ac:dyDescent="0.25">
      <c r="A20" s="1"/>
      <c r="B20" s="80" t="s">
        <v>70</v>
      </c>
      <c r="C20" s="80"/>
      <c r="D20" s="80"/>
      <c r="E20" s="80"/>
      <c r="F20" s="8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93" t="s">
        <v>44</v>
      </c>
      <c r="C22" s="93"/>
      <c r="D22" s="93"/>
      <c r="E22" s="93"/>
      <c r="F22" s="93"/>
      <c r="G22" s="1"/>
    </row>
    <row r="23" spans="1:7" ht="15" customHeight="1" x14ac:dyDescent="0.25">
      <c r="A23" s="1"/>
      <c r="B23" s="99" t="s">
        <v>45</v>
      </c>
      <c r="C23" s="99"/>
      <c r="D23" s="99"/>
      <c r="E23" s="8">
        <v>14221630.152044814</v>
      </c>
      <c r="F23" s="12" t="s">
        <v>3</v>
      </c>
      <c r="G23" s="1"/>
    </row>
    <row r="24" spans="1:7" ht="15" customHeight="1" x14ac:dyDescent="0.25">
      <c r="A24" s="1"/>
      <c r="B24" s="99" t="s">
        <v>46</v>
      </c>
      <c r="C24" s="99"/>
      <c r="D24" s="99"/>
      <c r="E24" s="8">
        <v>14683332</v>
      </c>
      <c r="F24" s="12" t="s">
        <v>3</v>
      </c>
      <c r="G24" s="1"/>
    </row>
    <row r="25" spans="1:7" ht="15" customHeight="1" x14ac:dyDescent="0.25">
      <c r="A25" s="1"/>
      <c r="B25" s="99" t="s">
        <v>33</v>
      </c>
      <c r="C25" s="99"/>
      <c r="D25" s="99"/>
      <c r="E25" s="8">
        <v>0</v>
      </c>
      <c r="F25" s="12" t="s">
        <v>3</v>
      </c>
      <c r="G25" s="1"/>
    </row>
    <row r="26" spans="1:7" x14ac:dyDescent="0.25">
      <c r="A26" s="1"/>
      <c r="B26" s="94" t="s">
        <v>137</v>
      </c>
      <c r="C26" s="94"/>
      <c r="D26" s="94"/>
      <c r="E26" s="9">
        <f>E23-(E24-E25)</f>
        <v>-461701.84795518592</v>
      </c>
      <c r="F26" s="16" t="s">
        <v>3</v>
      </c>
      <c r="G26" s="1"/>
    </row>
    <row r="27" spans="1:7" x14ac:dyDescent="0.25">
      <c r="A27" s="1"/>
      <c r="B27" s="90"/>
      <c r="C27" s="91"/>
      <c r="D27" s="91"/>
      <c r="E27" s="91"/>
      <c r="F27" s="92"/>
      <c r="G27" s="1"/>
    </row>
    <row r="28" spans="1:7" ht="28.5" customHeight="1" x14ac:dyDescent="0.25">
      <c r="A28" s="1"/>
      <c r="B28" s="80" t="s">
        <v>126</v>
      </c>
      <c r="C28" s="80"/>
      <c r="D28" s="80"/>
      <c r="E28" s="80"/>
      <c r="F28" s="8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3" t="s">
        <v>127</v>
      </c>
      <c r="C30" s="93"/>
      <c r="D30" s="93"/>
      <c r="E30" s="93"/>
      <c r="F30" s="93"/>
      <c r="G30" s="1"/>
    </row>
    <row r="31" spans="1:7" x14ac:dyDescent="0.25">
      <c r="A31" s="1"/>
      <c r="B31" s="99" t="s">
        <v>128</v>
      </c>
      <c r="C31" s="99"/>
      <c r="D31" s="99"/>
      <c r="E31" s="8">
        <v>14508407.0576455</v>
      </c>
      <c r="F31" s="12" t="s">
        <v>3</v>
      </c>
      <c r="G31" s="1"/>
    </row>
    <row r="32" spans="1:7" x14ac:dyDescent="0.25">
      <c r="A32" s="1"/>
      <c r="B32" s="99" t="s">
        <v>129</v>
      </c>
      <c r="C32" s="99"/>
      <c r="D32" s="99"/>
      <c r="E32" s="8">
        <v>15356859</v>
      </c>
      <c r="F32" s="12" t="s">
        <v>3</v>
      </c>
      <c r="G32" s="1"/>
    </row>
    <row r="33" spans="1:7" x14ac:dyDescent="0.25">
      <c r="A33" s="1"/>
      <c r="B33" s="99" t="s">
        <v>33</v>
      </c>
      <c r="C33" s="99"/>
      <c r="D33" s="99"/>
      <c r="E33" s="8">
        <v>0</v>
      </c>
      <c r="F33" s="12" t="s">
        <v>3</v>
      </c>
      <c r="G33" s="1"/>
    </row>
    <row r="34" spans="1:7" x14ac:dyDescent="0.25">
      <c r="A34" s="1"/>
      <c r="B34" s="94" t="s">
        <v>138</v>
      </c>
      <c r="C34" s="94"/>
      <c r="D34" s="94"/>
      <c r="E34" s="9">
        <f>E31-(E32-E33)</f>
        <v>-848451.94235450029</v>
      </c>
      <c r="F34" s="16" t="s">
        <v>3</v>
      </c>
      <c r="G34" s="1"/>
    </row>
    <row r="35" spans="1:7" x14ac:dyDescent="0.25">
      <c r="A35" s="1"/>
      <c r="B35" s="90"/>
      <c r="C35" s="91"/>
      <c r="D35" s="91"/>
      <c r="E35" s="91"/>
      <c r="F35" s="9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93" t="s">
        <v>130</v>
      </c>
      <c r="C38" s="93"/>
      <c r="D38" s="93"/>
      <c r="E38" s="93"/>
      <c r="F38" s="93"/>
      <c r="G38" s="1"/>
    </row>
    <row r="39" spans="1:7" x14ac:dyDescent="0.25">
      <c r="A39" s="1"/>
      <c r="B39" s="95" t="s">
        <v>36</v>
      </c>
      <c r="C39" s="95"/>
      <c r="D39" s="95"/>
      <c r="E39" s="8">
        <f>E9</f>
        <v>-225058.24531426671</v>
      </c>
      <c r="F39" s="12" t="s">
        <v>3</v>
      </c>
      <c r="G39" s="1"/>
    </row>
    <row r="40" spans="1:7" x14ac:dyDescent="0.25">
      <c r="A40" s="1"/>
      <c r="B40" s="95" t="s">
        <v>135</v>
      </c>
      <c r="C40" s="95"/>
      <c r="D40" s="95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5" t="s">
        <v>73</v>
      </c>
      <c r="C41" s="95"/>
      <c r="D41" s="95"/>
      <c r="E41" s="8">
        <v>2</v>
      </c>
      <c r="F41" s="12" t="s">
        <v>19</v>
      </c>
      <c r="G41" s="1"/>
    </row>
    <row r="42" spans="1:7" x14ac:dyDescent="0.25">
      <c r="A42" s="1"/>
      <c r="B42" s="94" t="s">
        <v>133</v>
      </c>
      <c r="C42" s="94"/>
      <c r="D42" s="94"/>
      <c r="E42" s="9">
        <f>SUM(E39)/E41</f>
        <v>-112529.12265713335</v>
      </c>
      <c r="F42" s="16" t="s">
        <v>3</v>
      </c>
      <c r="G42" s="1"/>
    </row>
    <row r="43" spans="1:7" x14ac:dyDescent="0.25">
      <c r="A43" s="1"/>
      <c r="B43" s="94" t="s">
        <v>134</v>
      </c>
      <c r="C43" s="94"/>
      <c r="D43" s="94"/>
      <c r="E43" s="9">
        <f>E40/E41</f>
        <v>0</v>
      </c>
      <c r="F43" s="16" t="s">
        <v>3</v>
      </c>
      <c r="G43" s="1"/>
    </row>
    <row r="44" spans="1:7" x14ac:dyDescent="0.25">
      <c r="A44" s="1"/>
      <c r="B44" s="93"/>
      <c r="C44" s="93"/>
      <c r="D44" s="93"/>
      <c r="E44" s="93"/>
      <c r="F44" s="93"/>
      <c r="G44" s="1"/>
    </row>
    <row r="46" spans="1:7" x14ac:dyDescent="0.25">
      <c r="A46" s="32"/>
      <c r="B46" s="32"/>
      <c r="C46" s="32"/>
      <c r="D46" s="32"/>
      <c r="E46" s="32"/>
      <c r="F46" s="32"/>
      <c r="G46" s="32"/>
    </row>
    <row r="47" spans="1:7" x14ac:dyDescent="0.25">
      <c r="A47" s="32"/>
      <c r="B47" s="32"/>
      <c r="C47" s="32"/>
      <c r="D47" s="32"/>
      <c r="E47" s="32"/>
      <c r="F47" s="32"/>
      <c r="G47" s="32"/>
    </row>
    <row r="48" spans="1:7" x14ac:dyDescent="0.25">
      <c r="A48" s="32"/>
      <c r="B48" s="32"/>
      <c r="C48" s="32"/>
      <c r="D48" s="32"/>
      <c r="E48" s="32"/>
      <c r="F48" s="32"/>
      <c r="G48" s="32"/>
    </row>
    <row r="49" spans="1:7" x14ac:dyDescent="0.25">
      <c r="A49" s="32"/>
      <c r="B49" s="32"/>
      <c r="C49" s="32"/>
      <c r="D49" s="32"/>
      <c r="E49" s="32"/>
      <c r="F49" s="32"/>
      <c r="G49" s="32"/>
    </row>
    <row r="50" spans="1:7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32"/>
      <c r="B51" s="32"/>
      <c r="C51" s="32"/>
      <c r="D51" s="32"/>
      <c r="E51" s="32"/>
      <c r="F51" s="32"/>
      <c r="G51" s="32"/>
    </row>
    <row r="52" spans="1:7" x14ac:dyDescent="0.25">
      <c r="A52" s="32"/>
      <c r="B52" s="32"/>
      <c r="C52" s="32"/>
      <c r="D52" s="32"/>
      <c r="E52" s="32"/>
      <c r="F52" s="32"/>
      <c r="G52" s="32"/>
    </row>
    <row r="53" spans="1:7" x14ac:dyDescent="0.25">
      <c r="A53" s="32"/>
      <c r="B53" s="32"/>
      <c r="C53" s="32"/>
      <c r="D53" s="32"/>
      <c r="E53" s="32"/>
      <c r="F53" s="32"/>
      <c r="G53" s="32"/>
    </row>
    <row r="54" spans="1:7" x14ac:dyDescent="0.25">
      <c r="A54" s="32"/>
      <c r="B54" s="32"/>
      <c r="C54" s="32"/>
      <c r="D54" s="32"/>
      <c r="E54" s="32"/>
      <c r="F54" s="32"/>
      <c r="G54" s="32"/>
    </row>
    <row r="55" spans="1:7" x14ac:dyDescent="0.25">
      <c r="A55" s="32"/>
      <c r="B55" s="32"/>
      <c r="C55" s="32"/>
      <c r="D55" s="32"/>
      <c r="E55" s="32"/>
      <c r="F55" s="32"/>
      <c r="G55" s="32"/>
    </row>
  </sheetData>
  <sheetProtection algorithmName="SHA-512" hashValue="ub2em7Yjb6cAwVMLo7MXMuKNyIfZlL90P9oTJiVNVNhkUvPrfIr0E9Nduct6VQr9Ym4rIOsOlj5waqaEAGfzSg==" saltValue="sS4fWW6Dwlc6+v4g7Yht5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139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117</v>
      </c>
      <c r="C8" s="91"/>
      <c r="D8" s="91"/>
      <c r="E8" s="91"/>
      <c r="F8" s="91"/>
      <c r="G8" s="91"/>
      <c r="H8" s="92"/>
      <c r="I8" s="1"/>
    </row>
    <row r="9" spans="1:9" ht="39.75" customHeight="1" x14ac:dyDescent="0.25">
      <c r="A9" s="1"/>
      <c r="B9" s="17" t="s">
        <v>0</v>
      </c>
      <c r="C9" s="17" t="s">
        <v>1</v>
      </c>
      <c r="D9" s="17" t="s">
        <v>10</v>
      </c>
      <c r="E9" s="46" t="s">
        <v>2</v>
      </c>
      <c r="F9" s="46" t="s">
        <v>11</v>
      </c>
      <c r="G9" s="46" t="s">
        <v>30</v>
      </c>
      <c r="H9" s="51"/>
      <c r="I9" s="1"/>
    </row>
    <row r="10" spans="1:9" ht="26.25" x14ac:dyDescent="0.25">
      <c r="A10" s="1"/>
      <c r="B10" s="55" t="s">
        <v>156</v>
      </c>
      <c r="C10" s="56" t="s">
        <v>157</v>
      </c>
      <c r="D10" s="8">
        <v>2191092</v>
      </c>
      <c r="E10" s="8">
        <f>IFERROR(D10/C10,0)</f>
        <v>29214.560000000001</v>
      </c>
      <c r="F10" s="8">
        <v>0</v>
      </c>
      <c r="G10" s="8">
        <v>0</v>
      </c>
      <c r="H10" s="12" t="s">
        <v>3</v>
      </c>
      <c r="I10" s="1"/>
    </row>
    <row r="11" spans="1:9" ht="26.25" x14ac:dyDescent="0.25">
      <c r="A11" s="1"/>
      <c r="B11" s="55" t="s">
        <v>158</v>
      </c>
      <c r="C11" s="56" t="s">
        <v>157</v>
      </c>
      <c r="D11" s="8">
        <v>28001</v>
      </c>
      <c r="E11" s="8">
        <f t="shared" ref="E11:E13" si="0">IFERROR(D11/C11,0)</f>
        <v>373.34666666666669</v>
      </c>
      <c r="F11" s="8">
        <v>0</v>
      </c>
      <c r="G11" s="8">
        <v>0</v>
      </c>
      <c r="H11" s="12" t="s">
        <v>3</v>
      </c>
      <c r="I11" s="1"/>
    </row>
    <row r="12" spans="1:9" ht="39" x14ac:dyDescent="0.25">
      <c r="A12" s="1"/>
      <c r="B12" s="55" t="s">
        <v>159</v>
      </c>
      <c r="C12" s="56" t="s">
        <v>160</v>
      </c>
      <c r="D12" s="8">
        <v>252456</v>
      </c>
      <c r="E12" s="8">
        <f t="shared" si="0"/>
        <v>16830.400000000001</v>
      </c>
      <c r="F12" s="8">
        <v>0</v>
      </c>
      <c r="G12" s="8">
        <v>0</v>
      </c>
      <c r="H12" s="12" t="s">
        <v>3</v>
      </c>
      <c r="I12" s="1"/>
    </row>
    <row r="13" spans="1:9" x14ac:dyDescent="0.25">
      <c r="A13" s="1"/>
      <c r="B13" s="55" t="s">
        <v>161</v>
      </c>
      <c r="C13" s="56" t="s">
        <v>162</v>
      </c>
      <c r="D13" s="8">
        <v>964177</v>
      </c>
      <c r="E13" s="8">
        <f t="shared" si="0"/>
        <v>38567.08</v>
      </c>
      <c r="F13" s="8">
        <v>0</v>
      </c>
      <c r="G13" s="8">
        <v>0</v>
      </c>
      <c r="H13" s="12" t="s">
        <v>3</v>
      </c>
      <c r="I13" s="1"/>
    </row>
    <row r="14" spans="1:9" x14ac:dyDescent="0.25">
      <c r="A14" s="1"/>
      <c r="B14" s="90" t="s">
        <v>118</v>
      </c>
      <c r="C14" s="91"/>
      <c r="D14" s="92"/>
      <c r="E14" s="10">
        <f>SUM(E10:E13)</f>
        <v>84985.386666666673</v>
      </c>
      <c r="F14" s="10">
        <f t="shared" ref="F14:G14" si="1">SUM(F10:F13)</f>
        <v>0</v>
      </c>
      <c r="G14" s="10">
        <f t="shared" si="1"/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c1I0e+1WG06izXpyZuK1/ynVqIHnsVFdAwEPMgyG/M86JEPwucNZLAzAQacch0LDuuvqm/SvXS824ZO4XzUbQ==" saltValue="qJ8Q6ailD2xVnLW1Svs8sA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2020-10-14T06:33:54Z</dcterms:modified>
</cp:coreProperties>
</file>