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quaDjurs AS (V01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4" i="7"/>
  <c r="C15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<sst xmlns="http://schemas.openxmlformats.org/spreadsheetml/2006/main" count="405" uniqueCount="154">
  <si>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</si>
  <si>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</si>
  <si>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</si>
  <si>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</si>
  <si>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</si>
  <si>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</si>
  <si>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</si>
  <si>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</si>
  <si>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</si>
  <si>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</si>
  <si>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</si>
  <si>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</si>
  <si>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</si>
  <si>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</si>
  <si>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</si>
  <si>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</si>
  <si>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</si>
  <si>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</si>
  <si>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</si>
  <si>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</si>
  <si>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</si>
  <si>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</si>
  <si>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</si>
  <si>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</si>
  <si>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</si>
  <si>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</si>
  <si>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</si>
  <si>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</si>
  <si>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</si>
  <si>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</si>
  <si>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</si>
  <si>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</si>
  <si>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</si>
  <si>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</si>
  <si>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</si>
  <si>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</si>
  <si>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</si>
  <si>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</si>
  <si>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</si>
  <si>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</si>
  <si>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</si>
  <si>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</si>
  <si>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</si>
  <si>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</si>
  <si>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</si>
  <si>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</si>
  <si>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</si>
  <si>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</si>
  <si>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</si>
  <si>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</si>
  <si>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</si>
  <si>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</si>
  <si>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</si>
  <si>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</si>
  <si>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</si>
  <si>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</si>
  <si>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</si>
  <si>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</si>
  <si>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</si>
  <si>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</si>
  <si>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</si>
  <si>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</si>
  <si>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</si>
  <si>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</si>
  <si>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</si>
  <si>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</si>
  <si>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</si>
  <si>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</si>
  <si>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</si>
  <si>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</si>
  <si>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</si>
  <si>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</si>
  <si>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</si>
  <si>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</si>
  <si>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</si>
  <si>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</si>
  <si>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</si>
  <si>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</si>
  <si>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</si>
  <si>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</si>
  <si>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</si>
  <si>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</si>
  <si>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</si>
  <si>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</si>
  <si>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</si>
  <si>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</si>
  <si>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</si>
  <si>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</si>
  <si>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</si>
  <si>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</si>
  <si>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</si>
  <si>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</si>
  <si>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</si>
  <si>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</si>
  <si>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</si>
  <si>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</si>
  <si>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</si>
  <si>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</si>
  <si>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</si>
  <si>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</si>
  <si>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</si>
  <si>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</si>
  <si>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</si>
  <si>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</si>
  <si>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</si>
  <si>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</si>
  <si>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</si>
  <si>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</si>
  <si>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</si>
  <si>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</si>
  <si>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</si>
  <si>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</si>
  <si>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</si>
  <si>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</si>
  <si>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</si>
  <si>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</si>
  <si>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</si>
  <si>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</si>
  <si>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</si>
  <si>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</si>
  <si>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</si>
  <si>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</si>
  <si>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</si>
  <si>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</si>
  <si>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</si>
  <si>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</si>
  <si>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</si>
  <si>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</si>
  <si>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</si>
  <si>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</si>
  <si>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</si>
  <si>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til ledningsført vand</t>
  </si>
  <si>
    <t>Afgift til Forsyningssekretariatet</t>
  </si>
  <si>
    <t>Køb af ydelser og produkter fra andre vandselskaber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</si>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</sst>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HIfMr7/RUs/n1/qvIXdK6g6f/NzQNoHdCjoYRMPwbhxPZhxetcVLzLtYZ+MpWoHkUhaEFqRaugm1OjSiW2GFw==" saltValue="z+DeUhlEwpf0TzrVNhP9J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9nRwUrUGnmQk+UQfmKaPqsHXpbcgrcqQK34EmAnoeZphjzDS3V/ZRkgxT0i3MrXgW2UdIy26cVb4p3c0bvmVpg==" saltValue="FUFBufyW/LLDdAjz2DYvt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/>
      <c r="D31" s="12" t="s">
        <v>3</v>
      </c>
      <c r="E31" s="19"/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Qt6r369kcttsgofZMDfUwEBAzR8XAZTz9qKODLPnfwA3F9vsDwrij6GRcLJEjxeBwm0CtYPy95RgaMUXJDSw9w==" saltValue="3hZ0qNLwqBdr9bGutqAjK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I4aNs7xKmYaweeCTry3cFe37mqd9adJoT8V6qdkwtwhUUKeeMocVb7oQeo5J7Emq6c3Y7tLE2RQYD/hZPzWOBA==" saltValue="R/pTRUQsigtVcsdwNS2df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ass2xOigm/ynit0d0E6yeuTn5Y2rOltZPgD7bZa0e7xBVyNYJ4DiSqLCJjqYslaZoEBF7K5746KvuTmdwdaRxw==" saltValue="quGS74qznD9Te8RwMX16K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XVFWJSAYjfa8pFZL9zezCWOWEPHBzsS4wFEQDUxhilSgi5r8VDv72ecVROIWZ3EFx0JsVfjl560AnA0yE15Reg==" saltValue="eM0WxD3XO4ZA7Y+51W+KI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46" t="s">
        <v>24</v>
      </c>
      <c r="C9" s="46"/>
      <c r="D9" s="46"/>
      <c r="E9" s="7">
        <f>'Fane 3. Omkostninger i ØR2021'!E16</f>
        <v>4778178.1319030784</v>
      </c>
      <c r="F9" s="46" t="s">
        <v>3</v>
      </c>
      <c r="G9" s="1"/>
    </row>
    <row r="10" spans="1:7" ht="17.100000000000001" customHeight="1" x14ac:dyDescent="0.45">
      <c r="A10" s="1"/>
      <c r="B10" s="33" t="s">
        <v>121</v>
      </c>
      <c r="C10" s="46"/>
      <c r="D10" s="46"/>
      <c r="E10" s="7">
        <f>'Fane 3. Omkostninger i ØR2021'!E13*(1-'Fane 10. Nøgletal'!C19)*(1+'Fane 10. Nøgletal'!C13)</f>
        <v>0</v>
      </c>
      <c r="F10" s="46" t="s">
        <v>3</v>
      </c>
      <c r="G10" s="1"/>
    </row>
    <row r="11" spans="1:7" ht="17.100000000000001" customHeight="1" x14ac:dyDescent="0.45">
      <c r="A11" s="1"/>
      <c r="B11" s="29" t="s">
        <v>60</v>
      </c>
      <c r="C11" s="46"/>
      <c r="D11" s="46"/>
      <c r="E11" s="7">
        <f>'Fane 7.1. Varige tillæg'!C12+'Fane 7.1. Varige tillæg'!E12</f>
        <v>0</v>
      </c>
      <c r="F11" s="46" t="s">
        <v>3</v>
      </c>
      <c r="G11" s="1"/>
    </row>
    <row r="12" spans="1:7" ht="17.100000000000001" customHeight="1" x14ac:dyDescent="0.4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4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45">
      <c r="A14" s="1"/>
      <c r="B14" s="29" t="s">
        <v>18</v>
      </c>
      <c r="C14" s="46"/>
      <c r="D14" s="46"/>
      <c r="E14" s="8">
        <f>E9*'Fane 10. Nøgletal'!C13+SUM(E11:E13)*'Fane 10. Nøgletal'!C14</f>
        <v>58293.773209217557</v>
      </c>
      <c r="F14" s="46" t="s">
        <v>3</v>
      </c>
      <c r="G14" s="1"/>
    </row>
    <row r="15" spans="1:7" ht="17.100000000000001" customHeight="1" x14ac:dyDescent="0.45">
      <c r="A15" s="1"/>
      <c r="B15" s="29" t="s">
        <v>54</v>
      </c>
      <c r="C15" s="46"/>
      <c r="D15" s="46"/>
      <c r="E15" s="8">
        <f>-SUM(E9,E11:E14)*'Fane 10. Nøgletal'!C19</f>
        <v>-82220.022386909041</v>
      </c>
      <c r="F15" s="46" t="s">
        <v>3</v>
      </c>
      <c r="G15" s="1"/>
    </row>
    <row r="16" spans="1:7" ht="15" customHeight="1" x14ac:dyDescent="0.45">
      <c r="A16" s="1"/>
      <c r="B16" s="50" t="s">
        <v>20</v>
      </c>
      <c r="C16" s="39"/>
      <c r="D16" s="39"/>
      <c r="E16" s="9">
        <f>SUM(E9,E11:E15)</f>
        <v>4754251.8827253869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omk.'!C15</f>
        <v>4665326.4059414305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4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4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12658.523483333307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149</v>
      </c>
      <c r="C26" s="40"/>
      <c r="D26" s="40"/>
      <c r="E26" s="40"/>
      <c r="F26" s="40"/>
      <c r="G26" s="1"/>
    </row>
    <row r="27" spans="1:7" x14ac:dyDescent="0.45">
      <c r="A27" s="1"/>
      <c r="B27" s="41" t="s">
        <v>150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9432236.8121501524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A4qE6lRlSyByvrCBXnJamAd7VyD9pk6DRX3BPcqrXOVlg775wQOvgAqpeENrzA4WbVmNM6Z3UdIbmTUDtMvedw==" saltValue="Ih3mUtnoXHslFw9ZF5WOd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46" t="s">
        <v>66</v>
      </c>
      <c r="C9" s="46"/>
      <c r="D9" s="46"/>
      <c r="E9" s="7">
        <f>'Fane 2.1. Økonomisk ramme 2022'!E16</f>
        <v>4754251.8827253869</v>
      </c>
      <c r="F9" s="46" t="s">
        <v>3</v>
      </c>
      <c r="G9" s="1"/>
    </row>
    <row r="10" spans="1:7" ht="15" customHeight="1" x14ac:dyDescent="0.45">
      <c r="A10" s="1"/>
      <c r="B10" s="29" t="s">
        <v>62</v>
      </c>
      <c r="C10" s="46"/>
      <c r="D10" s="46"/>
      <c r="E10" s="7">
        <f>-('Fane 9. Bortfald'!C18+'Fane 9. Bortfald'!E18)</f>
        <v>0</v>
      </c>
      <c r="F10" s="46" t="s">
        <v>3</v>
      </c>
      <c r="G10" s="1"/>
    </row>
    <row r="11" spans="1:7" ht="15" customHeight="1" x14ac:dyDescent="0.45">
      <c r="A11" s="1"/>
      <c r="B11" s="38" t="s">
        <v>18</v>
      </c>
      <c r="C11" s="46"/>
      <c r="D11" s="46"/>
      <c r="E11" s="8">
        <f>SUM(E9:E10)*'Fane 10. Nøgletal'!C14</f>
        <v>15689.031212993777</v>
      </c>
      <c r="F11" s="46" t="s">
        <v>3</v>
      </c>
      <c r="G11" s="1"/>
    </row>
    <row r="12" spans="1:7" ht="15" customHeight="1" x14ac:dyDescent="0.45">
      <c r="A12" s="1"/>
      <c r="B12" s="38" t="s">
        <v>54</v>
      </c>
      <c r="C12" s="46"/>
      <c r="D12" s="46"/>
      <c r="E12" s="8">
        <f>-SUM(E9:E11)*'Fane 10. Nøgletal'!C19</f>
        <v>-81088.995536952483</v>
      </c>
      <c r="F12" s="46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4688851.9184014285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omk.'!C15*(1+'Fane 10. Nøgletal'!C14)</f>
        <v>4680721.9830810372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46"/>
      <c r="D17" s="46"/>
      <c r="E17" s="8">
        <f>'Fane 7.2. Engangstillæg'!C20</f>
        <v>0</v>
      </c>
      <c r="F17" s="46" t="s">
        <v>3</v>
      </c>
      <c r="G17" s="1"/>
    </row>
    <row r="18" spans="1:7" ht="15" customHeight="1" x14ac:dyDescent="0.45">
      <c r="A18" s="1"/>
      <c r="B18" s="29" t="s">
        <v>40</v>
      </c>
      <c r="C18" s="46"/>
      <c r="D18" s="46"/>
      <c r="E18" s="8">
        <f>'Fane 7.2. Engangstillæg'!E20</f>
        <v>0</v>
      </c>
      <c r="F18" s="46" t="s">
        <v>3</v>
      </c>
      <c r="G18" s="1"/>
    </row>
    <row r="19" spans="1:7" ht="15" customHeight="1" x14ac:dyDescent="0.45">
      <c r="A19" s="1"/>
      <c r="B19" s="50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151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9369573.9014824666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TCp6jz2G2NAbR69a2Mhrml7tnEwKor1tlM2cjGpPOt3981EbXQouWRguwNkOti+AYvEnK/Naj/C5dB6T93GYqw==" saltValue="DlHFWYM23DM1t+xHc60i3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67</v>
      </c>
      <c r="C8" s="46"/>
      <c r="D8" s="46"/>
      <c r="E8" s="7">
        <f>'Fane 2.2. Økonomisk ramme 2023'!E13</f>
        <v>4688851.9184014285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15473.211330724715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-79973.527205446619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4624351.6025267066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omk.'!C15*(1+'Fane 10. Nøgletal'!C14)^2</f>
        <v>4696168.3656252054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9320519.9681519121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JMNpoE5MBlXpYNn2w15078P8MxRJ4iak8132ttyMoTwiN+XXoh4eHFASm2JRofof9s2t+OZiR1oTp6gp1Kj1EQ==" saltValue="fWCDN8Zox9HWs4yJHYq6I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103</v>
      </c>
      <c r="C8" s="46"/>
      <c r="D8" s="46"/>
      <c r="E8" s="7">
        <f>'Fane 2.3. Økonomisk ramme 2024'!E12</f>
        <v>4624351.6025267066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15260.360288338132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-78873.403367855761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4560738.5594471889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omk.'!C15*(1+'Fane 10. Nøgletal'!C14)^3</f>
        <v>4711665.7212317688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9272404.2806789577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1ssuE7lDnziEp/3n6caBBbVfX4t3s2OJtkdqRfL0MkVLQzZPjnEWloI5ARwaETIXayDb79nTz5w4ZK0IPEKv9w==" saltValue="6Luj5clwSswzJzK22Zs5+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4825113.9213914592</v>
      </c>
      <c r="F9" s="46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-22889.129063276232</v>
      </c>
      <c r="F10" s="46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46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46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46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58587.142466403835</v>
      </c>
      <c r="F14" s="46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-82633.802891507978</v>
      </c>
      <c r="F15" s="46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4778178.1319030784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4032033.0695593199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7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7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12658.523483333307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8822869.7249457333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S5GwXAtinWGEHJEvHuOqvta8LIINsjneOtyDJAzCRIWmQpbFTREgv2U3pHupDmnYzO5C6yis4g3pIGxlTryXEg==" saltValue="PbiqVGnfkIUpVhUkIoBw1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131</v>
      </c>
      <c r="C10" s="8">
        <v>2370249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11727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2251962</v>
      </c>
      <c r="D12" s="12" t="s">
        <v>3</v>
      </c>
      <c r="E12" s="1"/>
      <c r="F12" s="1"/>
    </row>
    <row r="13" spans="1:6" x14ac:dyDescent="0.45">
      <c r="A13" s="1"/>
      <c r="B13" s="28" t="s">
        <v>134</v>
      </c>
      <c r="C13" s="8">
        <v>749</v>
      </c>
      <c r="D13" s="12" t="s">
        <v>3</v>
      </c>
      <c r="E13" s="1"/>
      <c r="F13" s="1"/>
    </row>
    <row r="14" spans="1:6" x14ac:dyDescent="0.45">
      <c r="A14" s="1"/>
      <c r="B14" s="56" t="s">
        <v>108</v>
      </c>
      <c r="C14" s="10">
        <f>SUM(C10:C13)</f>
        <v>4634687</v>
      </c>
      <c r="D14" s="11" t="s">
        <v>3</v>
      </c>
      <c r="E14" s="1"/>
      <c r="F14" s="1"/>
    </row>
    <row r="15" spans="1:6" x14ac:dyDescent="0.45">
      <c r="A15" s="1"/>
      <c r="B15" s="56" t="s">
        <v>109</v>
      </c>
      <c r="C15" s="10">
        <f>C14*(1+'Fane 10. Nøgletal'!C14)^2</f>
        <v>4665326.4059414305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B51" s="1"/>
      <c r="C51" s="1"/>
      <c r="D51" s="1"/>
    </row>
  </sheetData>
  <sheetProtection algorithmName="SHA-512" hashValue="wERGtM7NADZzO//70pqM7ogdIoDhlXV8nWtjg+R0fqrrPMSfSIn2WqHZq8qVTZfRAclZ7DO5OgUmfA1tUn2yPA==" saltValue="bdELwsRn4OXq2r0ZvCAolA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153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45"/>
      <c r="C5" s="45"/>
      <c r="D5" s="45"/>
      <c r="E5" s="45"/>
      <c r="F5" s="45"/>
      <c r="G5" s="1"/>
    </row>
    <row r="6" spans="1:7" ht="15" customHeight="1" x14ac:dyDescent="0.45">
      <c r="A6" s="1"/>
      <c r="B6" s="45"/>
      <c r="C6" s="45"/>
      <c r="D6" s="45"/>
      <c r="E6" s="45"/>
      <c r="F6" s="45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136</v>
      </c>
      <c r="C8" s="89"/>
      <c r="D8" s="89"/>
      <c r="E8" s="89"/>
      <c r="F8" s="90"/>
      <c r="G8" s="1"/>
    </row>
    <row r="9" spans="1:7" x14ac:dyDescent="0.45">
      <c r="A9" s="1"/>
      <c r="B9" s="98" t="s">
        <v>137</v>
      </c>
      <c r="C9" s="99"/>
      <c r="D9" s="100"/>
      <c r="E9" s="8">
        <v>82386.977977777831</v>
      </c>
      <c r="F9" s="12" t="s">
        <v>3</v>
      </c>
      <c r="G9" s="1"/>
    </row>
    <row r="10" spans="1:7" x14ac:dyDescent="0.45">
      <c r="A10" s="1"/>
      <c r="B10" s="98" t="s">
        <v>138</v>
      </c>
      <c r="C10" s="99"/>
      <c r="D10" s="100"/>
      <c r="E10" s="8">
        <v>265735.14747641422</v>
      </c>
      <c r="F10" s="12" t="s">
        <v>3</v>
      </c>
      <c r="G10" s="1"/>
    </row>
    <row r="11" spans="1:7" x14ac:dyDescent="0.45">
      <c r="A11" s="1"/>
      <c r="B11" s="98" t="s">
        <v>139</v>
      </c>
      <c r="C11" s="99"/>
      <c r="D11" s="100"/>
      <c r="E11" s="8">
        <v>1516581.1448856983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101" t="s">
        <v>140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141</v>
      </c>
      <c r="C15" s="89"/>
      <c r="D15" s="89"/>
      <c r="E15" s="89"/>
      <c r="F15" s="90"/>
      <c r="G15" s="1"/>
    </row>
    <row r="16" spans="1:7" x14ac:dyDescent="0.45">
      <c r="A16" s="1"/>
      <c r="B16" s="98" t="s">
        <v>142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143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101" t="s">
        <v>144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1" t="s">
        <v>123</v>
      </c>
      <c r="C22" s="52"/>
      <c r="D22" s="53"/>
      <c r="E22" s="8">
        <v>9240723.8831538782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8527000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713723.88315387815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145</v>
      </c>
      <c r="C28" s="89"/>
      <c r="D28" s="89"/>
      <c r="E28" s="89"/>
      <c r="F28" s="90"/>
      <c r="G28" s="1"/>
    </row>
    <row r="29" spans="1:7" x14ac:dyDescent="0.45">
      <c r="A29" s="1"/>
      <c r="B29" s="83" t="s">
        <v>146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147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148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8BHqGnlOvGubV/cfrUvS9qlvAyZ3xJXC7kv52JhGexD1yVCY3Ca8kZepNyTE1nIKuf9pFTkUx83rX873WvrQ6w==" saltValue="9NCYZGndKeKuxZNg+8Uax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45">
      <c r="A10" s="1"/>
      <c r="B10" s="35" t="s">
        <v>152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hFgTdynZvsopAKJxNw4+ICoo+ZbnYDhw2v60IpScEDn743wQgxVWUjBcxQLNyOKqYUHssDgiuXCy1hBCdx7ow==" saltValue="I2ov4iroxiKFOfjL9Nu1ng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2021-08-18T23:36:40Z</dcterms:modified>
</cp:coreProperties>
</file>