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K-Vand AS (V13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1" i="11"/>
  <c r="C10" i="37" s="1"/>
  <c r="C15" i="37" s="1"/>
  <c r="G11" i="11"/>
  <c r="C16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5" i="37" s="1"/>
  <c r="G35" i="30" l="1"/>
  <c r="G37" i="30" s="1"/>
  <c r="C19" i="2"/>
  <c r="E16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C17" i="2" s="1"/>
  <c r="G47" i="36" l="1"/>
  <c r="G49" i="36" s="1"/>
  <c r="C14" i="23" s="1"/>
  <c r="C18" i="2" l="1"/>
  <c r="C21" i="2" s="1"/>
  <c r="C34" i="2" s="1"/>
  <c r="C9" i="15" l="1"/>
  <c r="C12" i="15" s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<sst xmlns="http://schemas.openxmlformats.org/spreadsheetml/2006/main" count="608" uniqueCount="255">
  <si>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</si>
  <si>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</si>
  <si>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</si>
  <si>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</si>
  <si>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</si>
  <si>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</si>
  <si>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</si>
  <si>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</si>
  <si>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</si>
  <si>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</si>
  <si>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</si>
  <si>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</si>
  <si>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</si>
  <si>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</si>
  <si>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</si>
  <si>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</si>
  <si>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</si>
  <si>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</si>
  <si>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</si>
  <si>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</si>
  <si>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</si>
  <si>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</si>
  <si>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</si>
  <si>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</si>
  <si>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</si>
  <si>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</si>
  <si>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</si>
  <si>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</si>
  <si>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</si>
  <si>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</si>
  <si>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</si>
  <si>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</si>
  <si>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</si>
  <si>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</si>
  <si>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</si>
  <si>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</si>
  <si>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</si>
  <si>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</si>
  <si>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</si>
  <si>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</si>
  <si>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</si>
  <si>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</si>
  <si>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</si>
  <si>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</si>
  <si>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</si>
  <si>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</si>
  <si>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</si>
  <si>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</si>
  <si>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</si>
  <si>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</si>
  <si>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</si>
  <si>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</si>
  <si>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</si>
  <si>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</si>
  <si>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</si>
  <si>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</si>
  <si>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</si>
  <si>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</si>
  <si>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</si>
  <si>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</si>
  <si>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</si>
  <si>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</si>
  <si>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</si>
  <si>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</si>
  <si>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</si>
  <si>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</si>
  <si>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</si>
  <si>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</si>
  <si>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</si>
  <si>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</si>
  <si>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</si>
  <si>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</si>
  <si>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</si>
  <si>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</si>
  <si>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</si>
  <si>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</si>
  <si>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</si>
  <si>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</si>
  <si>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</si>
  <si>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</si>
  <si>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</si>
  <si>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</si>
  <si>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</si>
  <si>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</si>
  <si>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</si>
  <si>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</si>
  <si>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</si>
  <si>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</si>
  <si>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</si>
  <si>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</si>
  <si>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</si>
  <si>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</si>
  <si>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</si>
  <si>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</si>
  <si>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</si>
  <si>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</si>
  <si>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</si>
  <si>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</si>
  <si>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</si>
  <si>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</si>
  <si>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</si>
  <si>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</si>
  <si>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</si>
  <si>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</si>
  <si>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</si>
  <si>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</si>
  <si>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</si>
  <si>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</si>
  <si>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</si>
  <si>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</si>
  <si>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</si>
  <si>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</si>
  <si>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</si>
  <si>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</si>
  <si>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</si>
  <si>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</si>
  <si>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</si>
  <si>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</si>
  <si>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</si>
  <si>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</si>
  <si>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</si>
  <si>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</si>
  <si>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</si>
  <si>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</si>
  <si>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</si>
  <si>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</si>
  <si>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</si>
  <si>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</si>
  <si>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</si>
  <si>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</si>
  <si>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</si>
  <si>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</si>
  <si>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</si>
  <si>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</si>
  <si>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</si>
  <si>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</si>
  <si>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</si>
  <si>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</si>
  <si>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</si>
  <si>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</si>
  <si>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</si>
  <si>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</si>
  <si>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</si>
  <si>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</si>
  <si>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</si>
  <si>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</si>
  <si>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</si>
  <si>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</si>
  <si>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</si>
  <si>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</si>
  <si>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</si>
  <si>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</si>
  <si>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</si>
  <si>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</si>
  <si>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</si>
  <si>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</si>
  <si>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</si>
  <si>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</si>
  <si>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</si>
  <si>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</si>
  <si>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</si>
  <si>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</si>
  <si>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</si>
  <si>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</si>
  <si>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</si>
  <si>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</si>
  <si>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</si>
  <si>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</si>
  <si>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</si>
  <si>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</si>
  <si>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</si>
  <si>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</si>
  <si>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</si>
  <si>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</si>
  <si>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</si>
  <si>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</si>
  <si>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</si>
  <si>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</si>
  <si>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</si>
  <si>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</si>
  <si>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</si>
  <si>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</si>
  <si>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</si>
  <si>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</si>
  <si>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</si>
  <si>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</si>
  <si>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</si>
  <si>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</si>
  <si>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</si>
  <si>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</si>
  <si>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</si>
  <si>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</si>
  <si>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</si>
  <si>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</si>
  <si>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</si>
  <si>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</si>
  <si>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</si>
  <si>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</si>
  <si>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</si>
  <si>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</si>
  <si>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</si>
  <si>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</si>
  <si>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</si>
  <si>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</si>
  <si>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</si>
  <si>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</si>
  <si>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</si>
  <si>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</si>
  <si>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</si>
  <si>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</si>
  <si>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</si>
  <si>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</si>
  <si>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</si>
  <si>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</si>
  <si>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</si>
  <si>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</si>
  <si>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</si>
  <si>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</si>
  <si>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</si>
  <si>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</si>
  <si>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</si>
  <si>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</si>
  <si>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</si>
  <si>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</si>
  <si>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</si>
  <si>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</si>
  <si>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</si>
  <si>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</si>
  <si>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</si>
  <si>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</si>
  <si>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</si>
  <si>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</si>
  <si>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</si>
  <si>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</si>
  <si>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</si>
  <si>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</si>
  <si>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</si>
  <si>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</si>
  <si>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</si>
  <si>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</si>
  <si>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>Decentral vandforsyningsstruktur, monitorering og sikring af boringer</t>
  </si>
  <si>
    <t>Skyttemarksvej og Ring syd</t>
  </si>
  <si>
    <t>Byggemodninger</t>
  </si>
  <si>
    <t>Inspektion af rentvandstank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</si>
  <si>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</si>
  <si>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</si>
  <si>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</si>
  <si>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</si>
  <si>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</si>
  <si>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</si>
  <si>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Ingen anlægsprojekter</t>
  </si>
  <si>
    <t>Yderligere opkrævningsret efter § 17, stk. 10 - 2017</t>
  </si>
  <si>
    <t>Yderligere opkrævningsret efter § 17, stk. 10 - 2018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</si>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</sst>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206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151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15</v>
      </c>
      <c r="D14" s="66" t="s">
        <v>207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40</v>
      </c>
      <c r="D15" s="66" t="s">
        <v>93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41</v>
      </c>
      <c r="D16" s="66" t="s">
        <v>152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150</v>
      </c>
      <c r="D17" s="66" t="s">
        <v>153</v>
      </c>
      <c r="E17" s="67"/>
      <c r="F17" s="67"/>
      <c r="G17" s="68"/>
      <c r="H17" s="1"/>
      <c r="I17" s="1"/>
    </row>
    <row r="18" spans="1:9" x14ac:dyDescent="0.25">
      <c r="A18" s="1"/>
      <c r="B18" s="1"/>
      <c r="C18" s="33" t="s">
        <v>134</v>
      </c>
      <c r="D18" s="72" t="s">
        <v>114</v>
      </c>
      <c r="E18" s="73"/>
      <c r="F18" s="73"/>
      <c r="G18" s="74"/>
      <c r="H18" s="1"/>
      <c r="I18" s="1"/>
    </row>
    <row r="19" spans="1:9" x14ac:dyDescent="0.25">
      <c r="A19" s="1"/>
      <c r="B19" s="1"/>
      <c r="C19" s="33" t="s">
        <v>135</v>
      </c>
      <c r="D19" s="72" t="s">
        <v>115</v>
      </c>
      <c r="E19" s="73"/>
      <c r="F19" s="73"/>
      <c r="G19" s="74"/>
      <c r="H19" s="1"/>
      <c r="I19" s="1"/>
    </row>
    <row r="20" spans="1:9" x14ac:dyDescent="0.25">
      <c r="A20" s="1"/>
      <c r="B20" s="1"/>
      <c r="C20" s="33" t="s">
        <v>7</v>
      </c>
      <c r="D20" s="72" t="s">
        <v>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136</v>
      </c>
      <c r="D21" s="63" t="s">
        <v>12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97</v>
      </c>
      <c r="D22" s="57" t="s">
        <v>154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42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217</v>
      </c>
      <c r="D24" s="57" t="s">
        <v>98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218</v>
      </c>
      <c r="D25" s="57" t="s">
        <v>99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219</v>
      </c>
      <c r="D26" s="57" t="s">
        <v>155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137</v>
      </c>
      <c r="D27" s="57" t="s">
        <v>43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128</v>
      </c>
      <c r="D28" s="60" t="s">
        <v>129</v>
      </c>
      <c r="E28" s="61"/>
      <c r="F28" s="61"/>
      <c r="G28" s="62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eT2UdKCzzhEgqjhXqXWbpslhZcNkCJ3jqVxzxAvOi4VGeXnsjkN3DorPSUzmPi5OJHwpAHFjylC8HEB6VLCtQ==" saltValue="nwb/gOMi1ydmKcNW7K6b9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140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168</v>
      </c>
      <c r="C8" s="99"/>
      <c r="D8" s="100"/>
      <c r="E8" s="1"/>
      <c r="F8" s="1"/>
    </row>
    <row r="9" spans="1:6" ht="15" customHeight="1" x14ac:dyDescent="0.25">
      <c r="A9" s="1"/>
      <c r="B9" s="42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1" t="s">
        <v>234</v>
      </c>
      <c r="C10" s="9">
        <v>14135661</v>
      </c>
      <c r="D10" s="14" t="s">
        <v>3</v>
      </c>
      <c r="E10" s="1"/>
      <c r="F10" s="1"/>
    </row>
    <row r="11" spans="1:6" x14ac:dyDescent="0.25">
      <c r="A11" s="1"/>
      <c r="B11" s="51" t="s">
        <v>235</v>
      </c>
      <c r="C11" s="9">
        <v>79050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52971</v>
      </c>
      <c r="D12" s="14" t="s">
        <v>3</v>
      </c>
      <c r="E12" s="1"/>
      <c r="F12" s="1"/>
    </row>
    <row r="13" spans="1:6" x14ac:dyDescent="0.25">
      <c r="A13" s="1"/>
      <c r="B13" s="51" t="s">
        <v>237</v>
      </c>
      <c r="C13" s="9">
        <v>84478</v>
      </c>
      <c r="D13" s="14" t="s">
        <v>3</v>
      </c>
      <c r="E13" s="1"/>
      <c r="F13" s="1"/>
    </row>
    <row r="14" spans="1:6" x14ac:dyDescent="0.25">
      <c r="A14" s="1"/>
      <c r="B14" s="50" t="s">
        <v>249</v>
      </c>
      <c r="C14" s="9">
        <v>128688.36335739051</v>
      </c>
      <c r="D14" s="14" t="s">
        <v>3</v>
      </c>
      <c r="E14" s="1"/>
      <c r="F14" s="1"/>
    </row>
    <row r="15" spans="1:6" x14ac:dyDescent="0.25">
      <c r="A15" s="1"/>
      <c r="B15" s="47" t="s">
        <v>169</v>
      </c>
      <c r="C15" s="12">
        <f>SUM(C10:C14)</f>
        <v>14480848.363357391</v>
      </c>
      <c r="D15" s="13" t="s">
        <v>3</v>
      </c>
      <c r="E15" s="1"/>
      <c r="F15" s="1"/>
    </row>
    <row r="16" spans="1:6" x14ac:dyDescent="0.25">
      <c r="A16" s="1"/>
      <c r="B16" s="47" t="s">
        <v>170</v>
      </c>
      <c r="C16" s="12">
        <f>C15*(1+'Fane 12. Nøgletal'!C13)^2</f>
        <v>14836336.392893715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W4zbHwameZzFw58FxBV24YdZkPyMduJ7oK6CE6GUHuNfgOXj8ZpNkLOYEIX5jGKicUzjPHuwo/J6qeUOYhj3Cg==" saltValue="5IEJ7rNwWqGarf9hlpk78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172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98" t="s">
        <v>39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37</v>
      </c>
      <c r="C7" s="102"/>
      <c r="D7" s="103"/>
      <c r="E7" s="9">
        <v>-3535540.3888888876</v>
      </c>
      <c r="F7" s="14" t="s">
        <v>3</v>
      </c>
      <c r="G7" s="1"/>
    </row>
    <row r="8" spans="1:7" ht="15" customHeight="1" x14ac:dyDescent="0.25">
      <c r="A8" s="1"/>
      <c r="B8" s="101" t="s">
        <v>38</v>
      </c>
      <c r="C8" s="102"/>
      <c r="D8" s="103"/>
      <c r="E8" s="9">
        <v>2634181.7871964648</v>
      </c>
      <c r="F8" s="14" t="s">
        <v>3</v>
      </c>
      <c r="G8" s="1"/>
    </row>
    <row r="9" spans="1:7" ht="15" customHeight="1" x14ac:dyDescent="0.25">
      <c r="A9" s="1"/>
      <c r="B9" s="109" t="s">
        <v>131</v>
      </c>
      <c r="C9" s="110"/>
      <c r="D9" s="111"/>
      <c r="E9" s="10">
        <f>SUM(E7:E8)</f>
        <v>-901358.60169242276</v>
      </c>
      <c r="F9" s="17" t="s">
        <v>3</v>
      </c>
      <c r="G9" s="1"/>
    </row>
    <row r="10" spans="1:7" ht="15" customHeight="1" x14ac:dyDescent="0.25">
      <c r="A10" s="1"/>
      <c r="B10" s="47"/>
      <c r="C10" s="48"/>
      <c r="D10" s="48"/>
      <c r="E10" s="48"/>
      <c r="F10" s="20"/>
      <c r="G10" s="1"/>
    </row>
    <row r="11" spans="1:7" ht="28.5" customHeight="1" x14ac:dyDescent="0.25">
      <c r="A11" s="1"/>
      <c r="B11" s="89" t="s">
        <v>132</v>
      </c>
      <c r="C11" s="90"/>
      <c r="D11" s="90"/>
      <c r="E11" s="90"/>
      <c r="F11" s="91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8" t="s">
        <v>116</v>
      </c>
      <c r="C13" s="99"/>
      <c r="D13" s="99"/>
      <c r="E13" s="99"/>
      <c r="F13" s="100"/>
      <c r="G13" s="1"/>
    </row>
    <row r="14" spans="1:7" x14ac:dyDescent="0.25">
      <c r="A14" s="1"/>
      <c r="B14" s="101" t="s">
        <v>117</v>
      </c>
      <c r="C14" s="102"/>
      <c r="D14" s="103"/>
      <c r="E14" s="9">
        <v>41405707.471173473</v>
      </c>
      <c r="F14" s="14" t="s">
        <v>3</v>
      </c>
      <c r="G14" s="1"/>
    </row>
    <row r="15" spans="1:7" x14ac:dyDescent="0.25">
      <c r="A15" s="1"/>
      <c r="B15" s="101" t="s">
        <v>118</v>
      </c>
      <c r="C15" s="102"/>
      <c r="D15" s="103"/>
      <c r="E15" s="9">
        <v>42030673</v>
      </c>
      <c r="F15" s="14" t="s">
        <v>3</v>
      </c>
      <c r="G15" s="1"/>
    </row>
    <row r="16" spans="1:7" x14ac:dyDescent="0.25">
      <c r="A16" s="1"/>
      <c r="B16" s="101" t="s">
        <v>36</v>
      </c>
      <c r="C16" s="102"/>
      <c r="D16" s="103"/>
      <c r="E16" s="9">
        <v>0</v>
      </c>
      <c r="F16" s="14" t="s">
        <v>3</v>
      </c>
      <c r="G16" s="1"/>
    </row>
    <row r="17" spans="1:7" x14ac:dyDescent="0.25">
      <c r="A17" s="1"/>
      <c r="B17" s="109" t="s">
        <v>208</v>
      </c>
      <c r="C17" s="110"/>
      <c r="D17" s="111"/>
      <c r="E17" s="10">
        <f>E14-(E15-E16)</f>
        <v>-624965.5288265273</v>
      </c>
      <c r="F17" s="17" t="s">
        <v>3</v>
      </c>
      <c r="G17" s="1"/>
    </row>
    <row r="18" spans="1:7" x14ac:dyDescent="0.25">
      <c r="A18" s="1"/>
      <c r="B18" s="47"/>
      <c r="C18" s="48"/>
      <c r="D18" s="48"/>
      <c r="E18" s="48"/>
      <c r="F18" s="20"/>
      <c r="G18" s="1"/>
    </row>
    <row r="19" spans="1:7" ht="30" customHeight="1" x14ac:dyDescent="0.25">
      <c r="A19" s="1"/>
      <c r="B19" s="89" t="s">
        <v>133</v>
      </c>
      <c r="C19" s="90"/>
      <c r="D19" s="90"/>
      <c r="E19" s="90"/>
      <c r="F19" s="91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8" t="s">
        <v>50</v>
      </c>
      <c r="C21" s="99"/>
      <c r="D21" s="99"/>
      <c r="E21" s="99"/>
      <c r="F21" s="100"/>
      <c r="G21" s="1"/>
    </row>
    <row r="22" spans="1:7" x14ac:dyDescent="0.25">
      <c r="A22" s="1"/>
      <c r="B22" s="101" t="s">
        <v>51</v>
      </c>
      <c r="C22" s="102"/>
      <c r="D22" s="103"/>
      <c r="E22" s="9">
        <v>41093337.187118307</v>
      </c>
      <c r="F22" s="14" t="s">
        <v>3</v>
      </c>
      <c r="G22" s="1"/>
    </row>
    <row r="23" spans="1:7" x14ac:dyDescent="0.25">
      <c r="A23" s="1"/>
      <c r="B23" s="101" t="s">
        <v>52</v>
      </c>
      <c r="C23" s="102"/>
      <c r="D23" s="103"/>
      <c r="E23" s="9">
        <v>40057554</v>
      </c>
      <c r="F23" s="14" t="s">
        <v>3</v>
      </c>
      <c r="G23" s="1"/>
    </row>
    <row r="24" spans="1:7" x14ac:dyDescent="0.25">
      <c r="A24" s="1"/>
      <c r="B24" s="101" t="s">
        <v>36</v>
      </c>
      <c r="C24" s="102"/>
      <c r="D24" s="103"/>
      <c r="E24" s="9">
        <v>0</v>
      </c>
      <c r="F24" s="14" t="s">
        <v>3</v>
      </c>
      <c r="G24" s="1"/>
    </row>
    <row r="25" spans="1:7" x14ac:dyDescent="0.25">
      <c r="A25" s="1"/>
      <c r="B25" s="109" t="s">
        <v>209</v>
      </c>
      <c r="C25" s="110"/>
      <c r="D25" s="111"/>
      <c r="E25" s="10">
        <f>E22-(E23-E24)</f>
        <v>1035783.1871183068</v>
      </c>
      <c r="F25" s="17" t="s">
        <v>3</v>
      </c>
      <c r="G25" s="1"/>
    </row>
    <row r="26" spans="1:7" x14ac:dyDescent="0.25">
      <c r="A26" s="1"/>
      <c r="B26" s="47"/>
      <c r="C26" s="48"/>
      <c r="D26" s="48"/>
      <c r="E26" s="48"/>
      <c r="F26" s="20"/>
      <c r="G26" s="1"/>
    </row>
    <row r="27" spans="1:7" ht="28.5" customHeight="1" x14ac:dyDescent="0.25">
      <c r="A27" s="1"/>
      <c r="B27" s="89" t="s">
        <v>179</v>
      </c>
      <c r="C27" s="90"/>
      <c r="D27" s="90"/>
      <c r="E27" s="90"/>
      <c r="F27" s="91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200</v>
      </c>
      <c r="C29" s="99"/>
      <c r="D29" s="99"/>
      <c r="E29" s="99"/>
      <c r="F29" s="100"/>
      <c r="G29" s="1"/>
    </row>
    <row r="30" spans="1:7" x14ac:dyDescent="0.25">
      <c r="A30" s="1"/>
      <c r="B30" s="101" t="s">
        <v>201</v>
      </c>
      <c r="C30" s="102"/>
      <c r="D30" s="103"/>
      <c r="E30" s="9">
        <v>43048476.841053113</v>
      </c>
      <c r="F30" s="14" t="s">
        <v>3</v>
      </c>
      <c r="G30" s="1"/>
    </row>
    <row r="31" spans="1:7" x14ac:dyDescent="0.25">
      <c r="A31" s="1"/>
      <c r="B31" s="101" t="s">
        <v>202</v>
      </c>
      <c r="C31" s="102"/>
      <c r="D31" s="103"/>
      <c r="E31" s="9">
        <v>42852011</v>
      </c>
      <c r="F31" s="14" t="s">
        <v>3</v>
      </c>
      <c r="G31" s="1"/>
    </row>
    <row r="32" spans="1:7" x14ac:dyDescent="0.25">
      <c r="A32" s="1"/>
      <c r="B32" s="101" t="s">
        <v>36</v>
      </c>
      <c r="C32" s="102"/>
      <c r="D32" s="103"/>
      <c r="E32" s="9">
        <v>0</v>
      </c>
      <c r="F32" s="14" t="s">
        <v>3</v>
      </c>
      <c r="G32" s="1"/>
    </row>
    <row r="33" spans="1:7" x14ac:dyDescent="0.25">
      <c r="A33" s="1"/>
      <c r="B33" s="109" t="s">
        <v>210</v>
      </c>
      <c r="C33" s="110"/>
      <c r="D33" s="111"/>
      <c r="E33" s="10">
        <f>E30-(E31-E32)</f>
        <v>196465.84105311334</v>
      </c>
      <c r="F33" s="17" t="s">
        <v>3</v>
      </c>
      <c r="G33" s="1"/>
    </row>
    <row r="34" spans="1:7" x14ac:dyDescent="0.25">
      <c r="A34" s="1"/>
      <c r="B34" s="47"/>
      <c r="C34" s="48"/>
      <c r="D34" s="48"/>
      <c r="E34" s="48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125</v>
      </c>
      <c r="C36" s="99"/>
      <c r="D36" s="99"/>
      <c r="E36" s="99"/>
      <c r="F36" s="100"/>
      <c r="G36" s="1"/>
    </row>
    <row r="37" spans="1:7" x14ac:dyDescent="0.25">
      <c r="A37" s="1"/>
      <c r="B37" s="112" t="s">
        <v>251</v>
      </c>
      <c r="C37" s="113"/>
      <c r="D37" s="114"/>
      <c r="E37" s="9">
        <v>0</v>
      </c>
      <c r="F37" s="14"/>
      <c r="G37" s="1"/>
    </row>
    <row r="38" spans="1:7" x14ac:dyDescent="0.25">
      <c r="A38" s="1"/>
      <c r="B38" s="112" t="s">
        <v>252</v>
      </c>
      <c r="C38" s="113"/>
      <c r="D38" s="114"/>
      <c r="E38" s="9">
        <v>1</v>
      </c>
      <c r="F38" s="14"/>
      <c r="G38" s="1"/>
    </row>
    <row r="39" spans="1:7" x14ac:dyDescent="0.25">
      <c r="A39" s="1"/>
      <c r="B39" s="112" t="s">
        <v>113</v>
      </c>
      <c r="C39" s="113"/>
      <c r="D39" s="114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2" t="s">
        <v>130</v>
      </c>
      <c r="C40" s="113"/>
      <c r="D40" s="114"/>
      <c r="E40" s="9">
        <v>2</v>
      </c>
      <c r="F40" s="14" t="s">
        <v>19</v>
      </c>
      <c r="G40" s="1"/>
    </row>
    <row r="41" spans="1:7" ht="15" customHeight="1" x14ac:dyDescent="0.25">
      <c r="A41" s="1"/>
      <c r="B41" s="115" t="s">
        <v>203</v>
      </c>
      <c r="C41" s="115"/>
      <c r="D41" s="115"/>
      <c r="E41" s="10">
        <f>E39/E40</f>
        <v>0</v>
      </c>
      <c r="F41" s="17" t="s">
        <v>3</v>
      </c>
      <c r="G41" s="1"/>
    </row>
    <row r="42" spans="1:7" x14ac:dyDescent="0.25">
      <c r="A42" s="1"/>
      <c r="B42" s="98"/>
      <c r="C42" s="99"/>
      <c r="D42" s="99"/>
      <c r="E42" s="99"/>
      <c r="F42" s="100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sx+Av7Te9dHM46GPW+p1r3/r87qxFvOUdSPAmnCdDXJ5AvkYNO5yDBM+dAKSQT/7bpL7Nus99/7QnYJkYDo3Lw==" saltValue="MyAb8Th50oQmwhRFV5euqQ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197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4"/>
      <c r="I9" s="1"/>
    </row>
    <row r="10" spans="1:9" x14ac:dyDescent="0.25">
      <c r="A10" s="1"/>
      <c r="B10" s="54" t="s">
        <v>250</v>
      </c>
      <c r="C10" s="55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8" t="s">
        <v>198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Dc7oeXF/pAa6UN+lA11xfIBwIIKuWXpH6bKvz43hNpmO1uAhQF+BxVnpfXqZsh0iGSHlBBOg1silM/Scy86rQ==" saltValue="V9KtVFu4aOkQq/sg0sA5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215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94</v>
      </c>
      <c r="C8" s="48"/>
      <c r="D8" s="48"/>
      <c r="E8" s="48"/>
      <c r="F8" s="20"/>
      <c r="G8" s="1"/>
    </row>
    <row r="9" spans="1:7" ht="17.25" customHeight="1" x14ac:dyDescent="0.25">
      <c r="A9" s="1"/>
      <c r="B9" s="45" t="s">
        <v>16</v>
      </c>
      <c r="C9" s="45" t="s">
        <v>11</v>
      </c>
      <c r="D9" s="46"/>
      <c r="E9" s="45" t="s">
        <v>34</v>
      </c>
      <c r="F9" s="44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ht="26.25" x14ac:dyDescent="0.25">
      <c r="A11" s="1"/>
      <c r="B11" s="39" t="s">
        <v>240</v>
      </c>
      <c r="C11" s="22">
        <v>507351</v>
      </c>
      <c r="D11" s="14" t="s">
        <v>3</v>
      </c>
      <c r="E11" s="9">
        <v>661426</v>
      </c>
      <c r="F11" s="14" t="s">
        <v>3</v>
      </c>
      <c r="G11" s="1"/>
    </row>
    <row r="12" spans="1:7" x14ac:dyDescent="0.25">
      <c r="A12" s="1"/>
      <c r="B12" s="25" t="s">
        <v>241</v>
      </c>
      <c r="C12" s="22">
        <v>0</v>
      </c>
      <c r="D12" s="14" t="s">
        <v>3</v>
      </c>
      <c r="E12" s="9">
        <v>152</v>
      </c>
      <c r="F12" s="14" t="s">
        <v>3</v>
      </c>
      <c r="G12" s="1"/>
    </row>
    <row r="13" spans="1:7" x14ac:dyDescent="0.25">
      <c r="A13" s="1"/>
      <c r="B13" s="56" t="s">
        <v>242</v>
      </c>
      <c r="C13" s="22">
        <v>22796</v>
      </c>
      <c r="D13" s="14" t="s">
        <v>3</v>
      </c>
      <c r="E13" s="9">
        <v>11350</v>
      </c>
      <c r="F13" s="14" t="s">
        <v>3</v>
      </c>
      <c r="G13" s="1"/>
    </row>
    <row r="14" spans="1:7" x14ac:dyDescent="0.25">
      <c r="A14" s="1"/>
      <c r="B14" s="25" t="s">
        <v>243</v>
      </c>
      <c r="C14" s="22">
        <v>19601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47" t="s">
        <v>48</v>
      </c>
      <c r="C15" s="12">
        <f>SUM(C10:C14)</f>
        <v>549748</v>
      </c>
      <c r="D15" s="13" t="s">
        <v>3</v>
      </c>
      <c r="E15" s="12">
        <f>SUM(E10:E14)</f>
        <v>672928</v>
      </c>
      <c r="F15" s="13" t="s">
        <v>3</v>
      </c>
      <c r="G15" s="1"/>
    </row>
    <row r="16" spans="1:7" x14ac:dyDescent="0.25">
      <c r="A16" s="1"/>
      <c r="B16" s="47" t="s">
        <v>173</v>
      </c>
      <c r="C16" s="12">
        <f>C15*(1+'Fane 12. Nøgletal'!C13)</f>
        <v>556454.92559999996</v>
      </c>
      <c r="D16" s="13" t="s">
        <v>3</v>
      </c>
      <c r="E16" s="12">
        <f>E15*(1+'Fane 12. Nøgletal'!C13)</f>
        <v>681137.72160000005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lWlRlYgISXd9azvTipEevC4QEjQRTQ8pZ/V4LUdbBNa5W8jo8C/6Vz5QGpJBMEkjAB+0mV9lkOupWsoGGsHIOA==" saltValue="2Oza005oSkDYAo3l3L1r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214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119</v>
      </c>
      <c r="C8" s="99"/>
      <c r="D8" s="99"/>
      <c r="E8" s="99"/>
      <c r="F8" s="100"/>
      <c r="G8" s="1"/>
    </row>
    <row r="9" spans="1:7" x14ac:dyDescent="0.25">
      <c r="A9" s="1"/>
      <c r="B9" s="45" t="s">
        <v>16</v>
      </c>
      <c r="C9" s="45" t="s">
        <v>11</v>
      </c>
      <c r="D9" s="46"/>
      <c r="E9" s="45" t="s">
        <v>34</v>
      </c>
      <c r="F9" s="44"/>
      <c r="G9" s="1"/>
    </row>
    <row r="10" spans="1:7" x14ac:dyDescent="0.25">
      <c r="A10" s="1"/>
      <c r="B10" s="25" t="s">
        <v>243</v>
      </c>
      <c r="C10" s="22">
        <v>98003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174</v>
      </c>
      <c r="C11" s="12">
        <f>SUM(C10:C10)</f>
        <v>98003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-1960.06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7" t="s">
        <v>122</v>
      </c>
      <c r="C14" s="12">
        <f>SUM(C11:C13)*(1+'Fane 12. Nøgletal'!C13)^2</f>
        <v>98400.682767189603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120</v>
      </c>
      <c r="C16" s="99"/>
      <c r="D16" s="99"/>
      <c r="E16" s="99"/>
      <c r="F16" s="100"/>
      <c r="G16" s="1"/>
    </row>
    <row r="17" spans="1:7" x14ac:dyDescent="0.25">
      <c r="A17" s="1"/>
      <c r="B17" s="45" t="s">
        <v>16</v>
      </c>
      <c r="C17" s="45" t="s">
        <v>11</v>
      </c>
      <c r="D17" s="46"/>
      <c r="E17" s="45" t="s">
        <v>34</v>
      </c>
      <c r="F17" s="44"/>
      <c r="G17" s="1"/>
    </row>
    <row r="18" spans="1:7" x14ac:dyDescent="0.25">
      <c r="A18" s="1"/>
      <c r="B18" s="25" t="s">
        <v>244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7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7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121</v>
      </c>
      <c r="C24" s="99"/>
      <c r="D24" s="99"/>
      <c r="E24" s="99"/>
      <c r="F24" s="100"/>
      <c r="G24" s="1"/>
    </row>
    <row r="25" spans="1:7" x14ac:dyDescent="0.25">
      <c r="A25" s="1"/>
      <c r="B25" s="45" t="s">
        <v>16</v>
      </c>
      <c r="C25" s="45" t="s">
        <v>11</v>
      </c>
      <c r="D25" s="46"/>
      <c r="E25" s="45" t="s">
        <v>34</v>
      </c>
      <c r="F25" s="44"/>
      <c r="G25" s="1"/>
    </row>
    <row r="26" spans="1:7" x14ac:dyDescent="0.25">
      <c r="A26" s="1"/>
      <c r="B26" s="25" t="s">
        <v>244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7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7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176</v>
      </c>
      <c r="C32" s="99"/>
      <c r="D32" s="99"/>
      <c r="E32" s="99"/>
      <c r="F32" s="100"/>
      <c r="G32" s="1"/>
    </row>
    <row r="33" spans="1:7" x14ac:dyDescent="0.25">
      <c r="A33" s="1"/>
      <c r="B33" s="45" t="s">
        <v>16</v>
      </c>
      <c r="C33" s="45" t="s">
        <v>11</v>
      </c>
      <c r="D33" s="46"/>
      <c r="E33" s="45" t="s">
        <v>34</v>
      </c>
      <c r="F33" s="44"/>
      <c r="G33" s="1"/>
    </row>
    <row r="34" spans="1:7" x14ac:dyDescent="0.25">
      <c r="A34" s="1"/>
      <c r="B34" s="25" t="s">
        <v>244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7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7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Su1A6hEuaJ7UpzpFIti5AYtK/a/1X1j1tEtpqWcBu469ta7ypAJGbzE5IXAnjQWxMx4lKSBiHG2ZXOHpsNTLw==" saltValue="xJcRjsfMcpZvKp2Y/S0cY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213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3" t="s">
        <v>157</v>
      </c>
      <c r="C9" s="95" t="s">
        <v>11</v>
      </c>
      <c r="D9" s="97"/>
      <c r="E9" s="95" t="s">
        <v>34</v>
      </c>
      <c r="F9" s="97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4TZZxd09r97I61iKf1uEXFe8xw7rnTRPEAw6F224VB1z85z97ZloMGtMzlaK6jDqfbK8UaW4I5wMI33LUSS9qw==" saltValue="h5iIJc1eaxKqRCBaiDDR+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212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111</v>
      </c>
      <c r="C8" s="99"/>
      <c r="D8" s="99"/>
      <c r="E8" s="99"/>
      <c r="F8" s="100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34</v>
      </c>
      <c r="F9" s="44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7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110</v>
      </c>
      <c r="C15" s="99"/>
      <c r="D15" s="99"/>
      <c r="E15" s="99"/>
      <c r="F15" s="100"/>
      <c r="G15" s="1"/>
    </row>
    <row r="16" spans="1:7" ht="26.25" x14ac:dyDescent="0.25">
      <c r="A16" s="1"/>
      <c r="B16" s="43" t="s">
        <v>17</v>
      </c>
      <c r="C16" s="43" t="s">
        <v>11</v>
      </c>
      <c r="D16" s="44"/>
      <c r="E16" s="43" t="s">
        <v>34</v>
      </c>
      <c r="F16" s="44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7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7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112</v>
      </c>
      <c r="C22" s="99"/>
      <c r="D22" s="99"/>
      <c r="E22" s="99"/>
      <c r="F22" s="100"/>
      <c r="G22" s="1"/>
    </row>
    <row r="23" spans="1:7" ht="26.25" x14ac:dyDescent="0.25">
      <c r="A23" s="1"/>
      <c r="B23" s="43" t="s">
        <v>17</v>
      </c>
      <c r="C23" s="43" t="s">
        <v>11</v>
      </c>
      <c r="D23" s="44"/>
      <c r="E23" s="43" t="s">
        <v>34</v>
      </c>
      <c r="F23" s="44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7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7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182</v>
      </c>
      <c r="C29" s="99"/>
      <c r="D29" s="99"/>
      <c r="E29" s="99"/>
      <c r="F29" s="100"/>
      <c r="G29" s="1"/>
    </row>
    <row r="30" spans="1:7" ht="26.25" x14ac:dyDescent="0.25">
      <c r="A30" s="1"/>
      <c r="B30" s="43" t="s">
        <v>17</v>
      </c>
      <c r="C30" s="43" t="s">
        <v>11</v>
      </c>
      <c r="D30" s="44"/>
      <c r="E30" s="43" t="s">
        <v>34</v>
      </c>
      <c r="F30" s="44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7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7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+bWfh7taJ9cxG+NSQk39JBaRTULILCdATOtkuzJN8ANj4xFLJ143ArOROn+Q+pd6lrbBFEYvh8mVDlq52Pc2lQ==" saltValue="wVjBaJvq/LRGJllsxSGh9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211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14</v>
      </c>
      <c r="C8" s="20"/>
      <c r="D8" s="1"/>
    </row>
    <row r="9" spans="1:4" x14ac:dyDescent="0.25">
      <c r="A9" s="1"/>
      <c r="B9" s="51" t="s">
        <v>141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8"/>
      <c r="C14" s="10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7" t="s">
        <v>126</v>
      </c>
      <c r="C17" s="20"/>
      <c r="D17" s="1"/>
    </row>
    <row r="18" spans="1:4" x14ac:dyDescent="0.25">
      <c r="A18" s="1"/>
      <c r="B18" s="51" t="s">
        <v>143</v>
      </c>
      <c r="C18" s="23">
        <v>9.1000000000000004E-3</v>
      </c>
      <c r="D18" s="1"/>
    </row>
    <row r="19" spans="1:4" x14ac:dyDescent="0.25">
      <c r="A19" s="1"/>
      <c r="B19" s="51" t="s">
        <v>144</v>
      </c>
      <c r="C19" s="23">
        <v>1.77E-2</v>
      </c>
      <c r="D19" s="1"/>
    </row>
    <row r="20" spans="1:4" x14ac:dyDescent="0.25">
      <c r="A20" s="1"/>
      <c r="B20" s="51" t="s">
        <v>145</v>
      </c>
      <c r="C20" s="23">
        <v>8.6999999999999994E-3</v>
      </c>
      <c r="D20" s="1"/>
    </row>
    <row r="21" spans="1:4" x14ac:dyDescent="0.25">
      <c r="A21" s="1"/>
      <c r="B21" s="51" t="s">
        <v>146</v>
      </c>
      <c r="C21" s="36">
        <v>2.8400000000000002E-2</v>
      </c>
      <c r="D21" s="1"/>
    </row>
    <row r="22" spans="1:4" x14ac:dyDescent="0.25">
      <c r="A22" s="1"/>
      <c r="B22" s="51" t="s">
        <v>186</v>
      </c>
      <c r="C22" s="36">
        <v>2.75E-2</v>
      </c>
      <c r="D22" s="1"/>
    </row>
    <row r="23" spans="1:4" x14ac:dyDescent="0.25">
      <c r="A23" s="1"/>
      <c r="B23" s="4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7" t="s">
        <v>127</v>
      </c>
      <c r="C26" s="20"/>
      <c r="D26" s="1"/>
    </row>
    <row r="27" spans="1:4" x14ac:dyDescent="0.25">
      <c r="A27" s="1"/>
      <c r="B27" s="51" t="s">
        <v>147</v>
      </c>
      <c r="C27" s="26">
        <v>0.02</v>
      </c>
      <c r="D27" s="1"/>
    </row>
    <row r="28" spans="1:4" x14ac:dyDescent="0.25">
      <c r="A28" s="1"/>
      <c r="B28" s="4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0F6sVa1mxN9piYMCAGt1PCNcJVU2HQYSAbbtDtQ1/QeDyEdnBN1tTz5p50Kv+u8+PBPZjOER7DYtvToTlF/4hg==" saltValue="fBChbpW4IYtYUCNflJ0V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x14ac:dyDescent="0.25">
      <c r="A9" s="1"/>
      <c r="B9" s="50" t="s">
        <v>25</v>
      </c>
      <c r="C9" s="7">
        <f>'Fane 3. Omkostninger i ØR2020'!E20</f>
        <v>26431025.511005569</v>
      </c>
      <c r="D9" s="8" t="s">
        <v>3</v>
      </c>
      <c r="E9" s="1"/>
    </row>
    <row r="10" spans="1:5" x14ac:dyDescent="0.25">
      <c r="A10" s="1"/>
      <c r="B10" s="50" t="s">
        <v>246</v>
      </c>
      <c r="C10" s="7">
        <v>-6645.5938135832348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tillæg'!C16</f>
        <v>556454.92559999996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tillæg'!E16</f>
        <v>681137.72160000005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337476.06528558227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0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-301068.77608832321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-361897.85501508595</v>
      </c>
      <c r="D20" s="8" t="s">
        <v>3</v>
      </c>
      <c r="E20" s="1"/>
    </row>
    <row r="21" spans="1:5" ht="17.100000000000001" customHeight="1" x14ac:dyDescent="0.25">
      <c r="A21" s="1"/>
      <c r="B21" s="52" t="s">
        <v>20</v>
      </c>
      <c r="C21" s="10">
        <f>SUM(C9:C20)</f>
        <v>27336481.99857416</v>
      </c>
      <c r="D21" s="11" t="s">
        <v>3</v>
      </c>
      <c r="E21" s="1"/>
    </row>
    <row r="22" spans="1:5" ht="15" customHeight="1" x14ac:dyDescent="0.25">
      <c r="A22" s="1"/>
      <c r="B22" s="47" t="s">
        <v>12</v>
      </c>
      <c r="C22" s="48"/>
      <c r="D22" s="20"/>
      <c r="E22" s="1"/>
    </row>
    <row r="23" spans="1:5" ht="15" customHeight="1" x14ac:dyDescent="0.25">
      <c r="A23" s="1"/>
      <c r="B23" s="43" t="s">
        <v>12</v>
      </c>
      <c r="C23" s="10">
        <f>'Fane 6. Ikke-påvirkelige omk.'!C16</f>
        <v>14836336.392893715</v>
      </c>
      <c r="D23" s="11" t="s">
        <v>3</v>
      </c>
      <c r="E23" s="1"/>
    </row>
    <row r="24" spans="1:5" ht="15" customHeight="1" x14ac:dyDescent="0.25">
      <c r="A24" s="1"/>
      <c r="B24" s="47" t="s">
        <v>99</v>
      </c>
      <c r="C24" s="48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98400.682767189603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2" t="s">
        <v>100</v>
      </c>
      <c r="C27" s="10">
        <f>SUM(C25:C26)</f>
        <v>98400.682767189603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8"/>
      <c r="D28" s="20"/>
      <c r="E28" s="1"/>
    </row>
    <row r="29" spans="1:5" x14ac:dyDescent="0.25">
      <c r="A29" s="1"/>
      <c r="B29" s="40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25">
      <c r="A30" s="1"/>
      <c r="B30" s="38" t="s">
        <v>247</v>
      </c>
      <c r="C30" s="48"/>
      <c r="D30" s="20"/>
      <c r="E30" s="1"/>
    </row>
    <row r="31" spans="1:5" x14ac:dyDescent="0.25">
      <c r="A31" s="1"/>
      <c r="B31" s="40" t="s">
        <v>248</v>
      </c>
      <c r="C31" s="10">
        <v>236.09184949064161</v>
      </c>
      <c r="D31" s="11" t="s">
        <v>3</v>
      </c>
      <c r="E31" s="1"/>
    </row>
    <row r="32" spans="1:5" x14ac:dyDescent="0.25">
      <c r="A32" s="1"/>
      <c r="B32" s="47" t="s">
        <v>253</v>
      </c>
      <c r="C32" s="48"/>
      <c r="D32" s="20"/>
      <c r="E32" s="1"/>
    </row>
    <row r="33" spans="1:5" x14ac:dyDescent="0.25">
      <c r="A33" s="1"/>
      <c r="B33" s="43" t="s">
        <v>254</v>
      </c>
      <c r="C33" s="10">
        <v>-1630339</v>
      </c>
      <c r="D33" s="11" t="s">
        <v>3</v>
      </c>
      <c r="E33" s="1"/>
    </row>
    <row r="34" spans="1:5" x14ac:dyDescent="0.25">
      <c r="A34" s="1"/>
      <c r="B34" s="47" t="s">
        <v>31</v>
      </c>
      <c r="C34" s="32">
        <f>SUM(C21,C23,C27,C29,C31,C33)</f>
        <v>40641116.166084558</v>
      </c>
      <c r="D34" s="20" t="s">
        <v>3</v>
      </c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sheetProtection algorithmName="SHA-512" hashValue="m1G0Ft2w2iNE+4ldnckfJOHWBlj9wS4gZiOBBFqKh8+hyi79JrgYDHrnGEtRMg/eWGdA+AciHVLcu/QCig+uXA==" saltValue="gjp89MDa5tUpHGbT/sUGe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162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/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ht="15" customHeight="1" x14ac:dyDescent="0.25">
      <c r="A9" s="1"/>
      <c r="B9" s="50" t="s">
        <v>26</v>
      </c>
      <c r="C9" s="7">
        <f>'Fane 2.1. Økonomisk ramme 2021'!C21</f>
        <v>27336481.99857416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1" t="s">
        <v>18</v>
      </c>
      <c r="C12" s="9">
        <f>SUM(C9:C11)*'Fane 12. Nøgletal'!C13</f>
        <v>333505.08038260479</v>
      </c>
      <c r="D12" s="8" t="s">
        <v>3</v>
      </c>
      <c r="E12" s="1"/>
    </row>
    <row r="13" spans="1:5" ht="15" customHeight="1" x14ac:dyDescent="0.25">
      <c r="A13" s="1"/>
      <c r="B13" s="41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27</v>
      </c>
      <c r="C14" s="9">
        <f>-'Fane 4.1. Gen. krav - drift'!G37</f>
        <v>-298646.97885346872</v>
      </c>
      <c r="D14" s="8" t="s">
        <v>3</v>
      </c>
      <c r="E14" s="1"/>
    </row>
    <row r="15" spans="1:5" ht="15" customHeight="1" x14ac:dyDescent="0.25">
      <c r="A15" s="1"/>
      <c r="B15" s="41" t="s">
        <v>28</v>
      </c>
      <c r="C15" s="9">
        <f>-'Fane 4.2. Gen. krav - anlæg'!G37</f>
        <v>-356239.4011029976</v>
      </c>
      <c r="D15" s="8" t="s">
        <v>3</v>
      </c>
      <c r="E15" s="1"/>
    </row>
    <row r="16" spans="1:5" ht="15" customHeight="1" x14ac:dyDescent="0.25">
      <c r="A16" s="1"/>
      <c r="B16" s="42" t="s">
        <v>20</v>
      </c>
      <c r="C16" s="10">
        <f>SUM(C9:C15)</f>
        <v>27015100.699000299</v>
      </c>
      <c r="D16" s="11" t="s">
        <v>3</v>
      </c>
      <c r="E16" s="1"/>
    </row>
    <row r="17" spans="1:5" x14ac:dyDescent="0.25">
      <c r="A17" s="1"/>
      <c r="B17" s="47" t="s">
        <v>12</v>
      </c>
      <c r="C17" s="48"/>
      <c r="D17" s="20"/>
      <c r="E17" s="1"/>
    </row>
    <row r="18" spans="1:5" ht="15" customHeight="1" x14ac:dyDescent="0.25">
      <c r="A18" s="1"/>
      <c r="B18" s="43" t="s">
        <v>12</v>
      </c>
      <c r="C18" s="10">
        <f>'Fane 6. Ikke-påvirkelige omk.'!C16*(1+'Fane 12. Nøgletal'!C13)</f>
        <v>15017339.696887018</v>
      </c>
      <c r="D18" s="11" t="s">
        <v>3</v>
      </c>
      <c r="E18" s="1"/>
    </row>
    <row r="19" spans="1:5" ht="15" customHeight="1" x14ac:dyDescent="0.25">
      <c r="A19" s="1"/>
      <c r="B19" s="47" t="s">
        <v>99</v>
      </c>
      <c r="C19" s="48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8"/>
      <c r="D23" s="20"/>
      <c r="E23" s="1"/>
    </row>
    <row r="24" spans="1:5" ht="15" customHeight="1" x14ac:dyDescent="0.25">
      <c r="A24" s="1"/>
      <c r="B24" s="53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7" t="s">
        <v>32</v>
      </c>
      <c r="C25" s="12">
        <f>SUM(C16,C18,C22,C24)</f>
        <v>42032440.395887315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txF/cCvci1W6HBQes+XITKKBu2nwlc+QeOj7/ke0/QQeMc2BUkdWfE/RojD1B/y8NPdNTBcviQJcWhSUJWzjg==" saltValue="esq4Zp/FsX1tjh9qsk23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21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50" t="s">
        <v>165</v>
      </c>
      <c r="C8" s="7">
        <f>'Fane 2.2. Økonomisk ramme 2022'!C16</f>
        <v>27015100.699000299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1" t="s">
        <v>18</v>
      </c>
      <c r="C11" s="9">
        <f>SUM(C8:C10)*'Fane 12. Nøgletal'!C13</f>
        <v>329584.22852780367</v>
      </c>
      <c r="D11" s="8" t="s">
        <v>3</v>
      </c>
      <c r="E11" s="1"/>
    </row>
    <row r="12" spans="1:5" ht="15" customHeight="1" x14ac:dyDescent="0.25">
      <c r="A12" s="1"/>
      <c r="B12" s="4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27</v>
      </c>
      <c r="C13" s="9">
        <f>-'Fane 4.1. Gen. krav - drift'!G43</f>
        <v>-296244.66255557147</v>
      </c>
      <c r="D13" s="8" t="s">
        <v>3</v>
      </c>
      <c r="E13" s="1"/>
    </row>
    <row r="14" spans="1:5" ht="15" customHeight="1" x14ac:dyDescent="0.25">
      <c r="A14" s="1"/>
      <c r="B14" s="41" t="s">
        <v>28</v>
      </c>
      <c r="C14" s="9">
        <f>-'Fane 4.2. Gen. krav - anlæg'!G43</f>
        <v>-350669.41994705168</v>
      </c>
      <c r="D14" s="8" t="s">
        <v>3</v>
      </c>
      <c r="E14" s="1"/>
    </row>
    <row r="15" spans="1:5" x14ac:dyDescent="0.25">
      <c r="A15" s="1"/>
      <c r="B15" s="42" t="s">
        <v>20</v>
      </c>
      <c r="C15" s="10">
        <f>SUM(C8:C14)</f>
        <v>26697770.84502548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omk.'!C16*(1+'Fane 12. Nøgletal'!C13)^2</f>
        <v>15200551.24118904</v>
      </c>
      <c r="D17" s="11" t="s">
        <v>3</v>
      </c>
      <c r="E17" s="1"/>
    </row>
    <row r="18" spans="1:5" ht="15" customHeight="1" x14ac:dyDescent="0.25">
      <c r="A18" s="1"/>
      <c r="B18" s="47" t="s">
        <v>99</v>
      </c>
      <c r="C18" s="48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7" t="s">
        <v>109</v>
      </c>
      <c r="C22" s="12">
        <f>SUM(C15,C17,C21)</f>
        <v>41898322.08621452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MwzdAi5f1iFSZrDHt3RFBtIkp49skDmYKm4ISxCH0wHUCJo2Ud/AvxbaIDm6akA+JwBFQGGsR/1Og+bvbs+ew==" saltValue="H+kTEc069FCtX1b3HIQ7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21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50" t="s">
        <v>166</v>
      </c>
      <c r="C8" s="7">
        <f>'Fane 2.3. Økonomisk ramme 2023'!C15</f>
        <v>26697770.84502548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1" t="s">
        <v>18</v>
      </c>
      <c r="C11" s="9">
        <f>SUM(C8:C10)*'Fane 12. Nøgletal'!C13</f>
        <v>325712.80430931086</v>
      </c>
      <c r="D11" s="8" t="s">
        <v>3</v>
      </c>
      <c r="E11" s="1"/>
    </row>
    <row r="12" spans="1:5" ht="15" customHeight="1" x14ac:dyDescent="0.25">
      <c r="A12" s="1"/>
      <c r="B12" s="4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27</v>
      </c>
      <c r="C13" s="9">
        <f>-'Fane 4.1. Gen. krav - drift'!G49</f>
        <v>-293861.67048997444</v>
      </c>
      <c r="D13" s="8" t="s">
        <v>3</v>
      </c>
      <c r="E13" s="1"/>
    </row>
    <row r="14" spans="1:5" ht="15" customHeight="1" x14ac:dyDescent="0.25">
      <c r="A14" s="1"/>
      <c r="B14" s="41" t="s">
        <v>28</v>
      </c>
      <c r="C14" s="9">
        <f>-'Fane 4.2. Gen. krav - anlæg'!G49</f>
        <v>-345186.52823146957</v>
      </c>
      <c r="D14" s="8" t="s">
        <v>3</v>
      </c>
      <c r="E14" s="1"/>
    </row>
    <row r="15" spans="1:5" x14ac:dyDescent="0.25">
      <c r="A15" s="1"/>
      <c r="B15" s="42" t="s">
        <v>20</v>
      </c>
      <c r="C15" s="10">
        <f>SUM(C8:C14)</f>
        <v>26384435.45061335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omk.'!C16*(1+'Fane 12. Nøgletal'!C13)^3</f>
        <v>15385997.966331547</v>
      </c>
      <c r="D17" s="11" t="s">
        <v>3</v>
      </c>
      <c r="E17" s="1"/>
    </row>
    <row r="18" spans="1:5" ht="15" customHeight="1" x14ac:dyDescent="0.25">
      <c r="A18" s="1"/>
      <c r="B18" s="47" t="s">
        <v>99</v>
      </c>
      <c r="C18" s="48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7" t="s">
        <v>245</v>
      </c>
      <c r="C22" s="12">
        <f>SUM(C15,C17,C21)</f>
        <v>41770433.416944899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xMiFglVfP4mbUKk+v+kMB1cnZ3dWY17SIHHDrLSUCWKhGJ/ReG4c43klCGCV/tDYVenWg25euU5VEtFNHNTxg==" saltValue="6UvNPpdAULKDqGYvROjL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180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167</v>
      </c>
      <c r="C8" s="48"/>
      <c r="D8" s="48"/>
      <c r="E8" s="48"/>
      <c r="F8" s="20"/>
      <c r="G8" s="1"/>
    </row>
    <row r="9" spans="1:7" x14ac:dyDescent="0.25">
      <c r="A9" s="1"/>
      <c r="B9" s="86" t="s">
        <v>23</v>
      </c>
      <c r="C9" s="87"/>
      <c r="D9" s="88"/>
      <c r="E9" s="7">
        <v>26141215.912190799</v>
      </c>
      <c r="F9" s="8" t="s">
        <v>3</v>
      </c>
      <c r="G9" s="1"/>
    </row>
    <row r="10" spans="1:7" ht="15" customHeight="1" x14ac:dyDescent="0.25">
      <c r="A10" s="1"/>
      <c r="B10" s="77" t="s">
        <v>45</v>
      </c>
      <c r="C10" s="78"/>
      <c r="D10" s="79"/>
      <c r="E10" s="7">
        <v>54067.553100000005</v>
      </c>
      <c r="F10" s="8" t="s">
        <v>3</v>
      </c>
      <c r="G10" s="1"/>
    </row>
    <row r="11" spans="1:7" ht="15" customHeight="1" x14ac:dyDescent="0.25">
      <c r="A11" s="1"/>
      <c r="B11" s="77" t="s">
        <v>46</v>
      </c>
      <c r="C11" s="78"/>
      <c r="D11" s="79"/>
      <c r="E11" s="9">
        <v>235095.09498090003</v>
      </c>
      <c r="F11" s="8" t="s">
        <v>3</v>
      </c>
      <c r="G11" s="1"/>
    </row>
    <row r="12" spans="1:7" x14ac:dyDescent="0.2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2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18</v>
      </c>
      <c r="C16" s="78"/>
      <c r="D16" s="79"/>
      <c r="E16" s="9">
        <f>E9*'Fane 12. Nøgletal'!C11+SUM(E10:E15)*'Fane 12. Nøgletal'!C12</f>
        <v>447483.05308321817</v>
      </c>
      <c r="F16" s="8" t="s">
        <v>3</v>
      </c>
      <c r="G16" s="1"/>
    </row>
    <row r="17" spans="1:7" x14ac:dyDescent="0.25">
      <c r="A17" s="1"/>
      <c r="B17" s="77" t="s">
        <v>9</v>
      </c>
      <c r="C17" s="78"/>
      <c r="D17" s="79"/>
      <c r="E17" s="9">
        <f>-SUM(E9:E16)*'Fane 5. Individuelt eff. krav'!G9</f>
        <v>-41791.892135485548</v>
      </c>
      <c r="F17" s="8" t="s">
        <v>3</v>
      </c>
      <c r="G17" s="1"/>
    </row>
    <row r="18" spans="1:7" x14ac:dyDescent="0.25">
      <c r="A18" s="1"/>
      <c r="B18" s="77" t="s">
        <v>27</v>
      </c>
      <c r="C18" s="78"/>
      <c r="D18" s="79"/>
      <c r="E18" s="9">
        <f>-'Fane 4.1. Gen. krav - drift'!G25</f>
        <v>-292153.98926411744</v>
      </c>
      <c r="F18" s="8" t="s">
        <v>3</v>
      </c>
      <c r="G18" s="1"/>
    </row>
    <row r="19" spans="1:7" x14ac:dyDescent="0.25">
      <c r="A19" s="1"/>
      <c r="B19" s="77" t="s">
        <v>28</v>
      </c>
      <c r="C19" s="78"/>
      <c r="D19" s="79"/>
      <c r="E19" s="9">
        <f>-'Fane 4.2. Gen. krav - anlæg'!G25</f>
        <v>-112890.22094974811</v>
      </c>
      <c r="F19" s="8" t="s">
        <v>3</v>
      </c>
      <c r="G19" s="1"/>
    </row>
    <row r="20" spans="1:7" x14ac:dyDescent="0.25">
      <c r="A20" s="1"/>
      <c r="B20" s="92" t="s">
        <v>20</v>
      </c>
      <c r="C20" s="93"/>
      <c r="D20" s="94"/>
      <c r="E20" s="10">
        <f>SUM(E9:E19)</f>
        <v>26431025.511005569</v>
      </c>
      <c r="F20" s="11" t="s">
        <v>3</v>
      </c>
      <c r="G20" s="1"/>
    </row>
    <row r="21" spans="1:7" x14ac:dyDescent="0.25">
      <c r="A21" s="1"/>
      <c r="B21" s="80" t="s">
        <v>12</v>
      </c>
      <c r="C21" s="81"/>
      <c r="D21" s="81"/>
      <c r="E21" s="48"/>
      <c r="F21" s="20"/>
      <c r="G21" s="1"/>
    </row>
    <row r="22" spans="1:7" x14ac:dyDescent="0.25">
      <c r="A22" s="1"/>
      <c r="B22" s="82" t="s">
        <v>12</v>
      </c>
      <c r="C22" s="83"/>
      <c r="D22" s="84"/>
      <c r="E22" s="10">
        <v>13938108.757520311</v>
      </c>
      <c r="F22" s="11" t="s">
        <v>3</v>
      </c>
      <c r="G22" s="1"/>
    </row>
    <row r="23" spans="1:7" ht="15" customHeight="1" x14ac:dyDescent="0.25">
      <c r="A23" s="1"/>
      <c r="B23" s="80" t="s">
        <v>99</v>
      </c>
      <c r="C23" s="81"/>
      <c r="D23" s="81"/>
      <c r="E23" s="48"/>
      <c r="F23" s="48"/>
      <c r="G23" s="1"/>
    </row>
    <row r="24" spans="1:7" ht="14.25" customHeight="1" x14ac:dyDescent="0.25">
      <c r="A24" s="1"/>
      <c r="B24" s="89" t="s">
        <v>95</v>
      </c>
      <c r="C24" s="90"/>
      <c r="D24" s="91"/>
      <c r="E24" s="9">
        <v>146040.31681668002</v>
      </c>
      <c r="F24" s="8" t="s">
        <v>3</v>
      </c>
      <c r="G24" s="1"/>
    </row>
    <row r="25" spans="1:7" ht="14.25" customHeight="1" x14ac:dyDescent="0.25">
      <c r="A25" s="1"/>
      <c r="B25" s="89" t="s">
        <v>96</v>
      </c>
      <c r="C25" s="90"/>
      <c r="D25" s="91"/>
      <c r="E25" s="9">
        <v>0</v>
      </c>
      <c r="F25" s="8" t="s">
        <v>3</v>
      </c>
      <c r="G25" s="1"/>
    </row>
    <row r="26" spans="1:7" x14ac:dyDescent="0.25">
      <c r="A26" s="1"/>
      <c r="B26" s="95" t="s">
        <v>100</v>
      </c>
      <c r="C26" s="96"/>
      <c r="D26" s="96"/>
      <c r="E26" s="10">
        <v>142892.43508068731</v>
      </c>
      <c r="F26" s="11" t="s">
        <v>3</v>
      </c>
      <c r="G26" s="1"/>
    </row>
    <row r="27" spans="1:7" ht="14.25" customHeight="1" x14ac:dyDescent="0.25">
      <c r="A27" s="1"/>
      <c r="B27" s="47" t="s">
        <v>228</v>
      </c>
      <c r="C27" s="48"/>
      <c r="D27" s="48"/>
      <c r="E27" s="48"/>
      <c r="F27" s="48"/>
      <c r="G27" s="1"/>
    </row>
    <row r="28" spans="1:7" ht="13.15" customHeight="1" x14ac:dyDescent="0.25">
      <c r="A28" s="1"/>
      <c r="B28" s="95" t="s">
        <v>229</v>
      </c>
      <c r="C28" s="96"/>
      <c r="D28" s="97"/>
      <c r="E28" s="10">
        <v>1182056</v>
      </c>
      <c r="F28" s="11" t="s">
        <v>3</v>
      </c>
      <c r="G28" s="1"/>
    </row>
    <row r="29" spans="1:7" x14ac:dyDescent="0.25">
      <c r="A29" s="1"/>
      <c r="B29" s="47" t="s">
        <v>230</v>
      </c>
      <c r="C29" s="48"/>
      <c r="D29" s="48"/>
      <c r="E29" s="48"/>
      <c r="F29" s="20"/>
      <c r="G29" s="1"/>
    </row>
    <row r="30" spans="1:7" ht="15" customHeight="1" x14ac:dyDescent="0.25">
      <c r="A30" s="1"/>
      <c r="B30" s="95" t="s">
        <v>231</v>
      </c>
      <c r="C30" s="96"/>
      <c r="D30" s="97"/>
      <c r="E30" s="10">
        <v>-138196.53643294773</v>
      </c>
      <c r="F30" s="11" t="s">
        <v>3</v>
      </c>
      <c r="G30" s="1"/>
    </row>
    <row r="31" spans="1:7" x14ac:dyDescent="0.25">
      <c r="A31" s="1"/>
      <c r="B31" s="47" t="s">
        <v>232</v>
      </c>
      <c r="C31" s="48"/>
      <c r="D31" s="48"/>
      <c r="E31" s="48"/>
      <c r="F31" s="20"/>
      <c r="G31" s="1"/>
    </row>
    <row r="32" spans="1:7" x14ac:dyDescent="0.25">
      <c r="A32" s="1"/>
      <c r="B32" s="82" t="s">
        <v>233</v>
      </c>
      <c r="C32" s="83"/>
      <c r="D32" s="84"/>
      <c r="E32" s="10">
        <v>31935.51480360725</v>
      </c>
      <c r="F32" s="11" t="s">
        <v>3</v>
      </c>
      <c r="G32" s="1"/>
    </row>
    <row r="33" spans="1:7" x14ac:dyDescent="0.25">
      <c r="A33" s="1"/>
      <c r="B33" s="47" t="s">
        <v>24</v>
      </c>
      <c r="C33" s="48"/>
      <c r="D33" s="48"/>
      <c r="E33" s="12">
        <f>SUM(E30,E26,E28,E22,E20,E32)</f>
        <v>41587821.681977235</v>
      </c>
      <c r="F33" s="13" t="s">
        <v>3</v>
      </c>
      <c r="G33" s="1"/>
    </row>
    <row r="34" spans="1:7" ht="28.15" customHeight="1" x14ac:dyDescent="0.25">
      <c r="A34" s="1"/>
      <c r="B34" s="89" t="s">
        <v>179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6VmzsfLPFu7EwgTJvcrGfZT3vCUdZq2VrMy4AaVhM1UX60o2Whamj6NLPl4K8ssSjNVj243gVZyP19qsjgUamg==" saltValue="vL6sINGItu2So2Euf/IimQ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5" t="s">
        <v>138</v>
      </c>
      <c r="C1" s="75"/>
      <c r="D1" s="75"/>
      <c r="E1" s="75"/>
      <c r="F1" s="75"/>
      <c r="G1" s="75"/>
      <c r="H1" s="75"/>
      <c r="I1" s="1"/>
    </row>
    <row r="2" spans="1:9" ht="15" customHeight="1" x14ac:dyDescent="0.25">
      <c r="A2" s="1"/>
      <c r="B2" s="75"/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x14ac:dyDescent="0.25">
      <c r="A4" s="1"/>
      <c r="B4" s="98" t="s">
        <v>64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53</v>
      </c>
      <c r="C5" s="102"/>
      <c r="D5" s="102"/>
      <c r="E5" s="102"/>
      <c r="F5" s="103"/>
      <c r="G5" s="24">
        <v>14941645.85155252</v>
      </c>
      <c r="H5" s="14" t="s">
        <v>3</v>
      </c>
      <c r="I5" s="1"/>
    </row>
    <row r="6" spans="1:9" x14ac:dyDescent="0.25">
      <c r="A6" s="1"/>
      <c r="B6" s="101" t="s">
        <v>54</v>
      </c>
      <c r="C6" s="102"/>
      <c r="D6" s="102"/>
      <c r="E6" s="102"/>
      <c r="F6" s="103"/>
      <c r="G6" s="24">
        <f>G5*'Fane 12. Nøgletal'!C27</f>
        <v>298832.91703105043</v>
      </c>
      <c r="H6" s="14" t="s">
        <v>3</v>
      </c>
      <c r="I6" s="1"/>
    </row>
    <row r="7" spans="1:9" x14ac:dyDescent="0.25">
      <c r="A7" s="1"/>
      <c r="B7" s="47"/>
      <c r="C7" s="48"/>
      <c r="D7" s="48"/>
      <c r="E7" s="48"/>
      <c r="F7" s="48"/>
      <c r="G7" s="48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65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55</v>
      </c>
      <c r="C10" s="102"/>
      <c r="D10" s="102"/>
      <c r="E10" s="102"/>
      <c r="F10" s="103"/>
      <c r="G10" s="24">
        <f>(G5-G6)*(1+'Fane 12. Nøgletal'!C9)</f>
        <v>14828776.658789892</v>
      </c>
      <c r="H10" s="14" t="s">
        <v>3</v>
      </c>
      <c r="I10" s="1"/>
    </row>
    <row r="11" spans="1:9" x14ac:dyDescent="0.25">
      <c r="A11" s="1"/>
      <c r="B11" s="104" t="s">
        <v>56</v>
      </c>
      <c r="C11" s="105"/>
      <c r="D11" s="105"/>
      <c r="E11" s="105"/>
      <c r="F11" s="106"/>
      <c r="G11" s="24">
        <v>0</v>
      </c>
      <c r="H11" s="14" t="s">
        <v>3</v>
      </c>
      <c r="I11" s="1"/>
    </row>
    <row r="12" spans="1:9" x14ac:dyDescent="0.25">
      <c r="A12" s="1"/>
      <c r="B12" s="101" t="s">
        <v>57</v>
      </c>
      <c r="C12" s="102"/>
      <c r="D12" s="102"/>
      <c r="E12" s="102"/>
      <c r="F12" s="103"/>
      <c r="G12" s="24">
        <f>(G10+G11)*'Fane 12. Nøgletal'!C27</f>
        <v>296575.53317579784</v>
      </c>
      <c r="H12" s="14" t="s">
        <v>3</v>
      </c>
      <c r="I12" s="1"/>
    </row>
    <row r="13" spans="1:9" x14ac:dyDescent="0.25">
      <c r="A13" s="1"/>
      <c r="B13" s="47"/>
      <c r="C13" s="48"/>
      <c r="D13" s="48"/>
      <c r="E13" s="48"/>
      <c r="F13" s="48"/>
      <c r="G13" s="48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66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58</v>
      </c>
      <c r="C16" s="102"/>
      <c r="D16" s="102"/>
      <c r="E16" s="102"/>
      <c r="F16" s="103"/>
      <c r="G16" s="24">
        <f>(G10-G12)*(1+'Fane 12. Nøgletal'!C11)</f>
        <v>14777795.32463697</v>
      </c>
      <c r="H16" s="14" t="s">
        <v>3</v>
      </c>
      <c r="I16" s="1"/>
    </row>
    <row r="17" spans="1:9" x14ac:dyDescent="0.25">
      <c r="A17" s="1"/>
      <c r="B17" s="101" t="s">
        <v>148</v>
      </c>
      <c r="C17" s="102"/>
      <c r="D17" s="102"/>
      <c r="E17" s="102"/>
      <c r="F17" s="103"/>
      <c r="G17" s="24">
        <v>-175024.21826345427</v>
      </c>
      <c r="H17" s="14" t="s">
        <v>3</v>
      </c>
      <c r="I17" s="1"/>
    </row>
    <row r="18" spans="1:9" x14ac:dyDescent="0.25">
      <c r="A18" s="1"/>
      <c r="B18" s="104" t="s">
        <v>59</v>
      </c>
      <c r="C18" s="105"/>
      <c r="D18" s="105"/>
      <c r="E18" s="105"/>
      <c r="F18" s="106"/>
      <c r="G18" s="24">
        <v>281487.40981248993</v>
      </c>
      <c r="H18" s="14" t="s">
        <v>3</v>
      </c>
      <c r="I18" s="1"/>
    </row>
    <row r="19" spans="1:9" x14ac:dyDescent="0.25">
      <c r="A19" s="1"/>
      <c r="B19" s="101" t="s">
        <v>60</v>
      </c>
      <c r="C19" s="102"/>
      <c r="D19" s="102"/>
      <c r="E19" s="102"/>
      <c r="F19" s="103"/>
      <c r="G19" s="24">
        <f>SUM(G16:G18)*'Fane 12. Nøgletal'!C27</f>
        <v>297685.17032372009</v>
      </c>
      <c r="H19" s="14" t="s">
        <v>3</v>
      </c>
      <c r="I19" s="1"/>
    </row>
    <row r="20" spans="1:9" x14ac:dyDescent="0.25">
      <c r="A20" s="1"/>
      <c r="B20" s="47"/>
      <c r="C20" s="48"/>
      <c r="D20" s="48"/>
      <c r="E20" s="48"/>
      <c r="F20" s="48"/>
      <c r="G20" s="48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67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61</v>
      </c>
      <c r="C23" s="102"/>
      <c r="D23" s="102"/>
      <c r="E23" s="102"/>
      <c r="F23" s="103"/>
      <c r="G23" s="24">
        <f>(SUM(G16:G18)-G19)*(1+'Fane 12. Nøgletal'!C11)</f>
        <v>14833086.435407355</v>
      </c>
      <c r="H23" s="14" t="s">
        <v>3</v>
      </c>
      <c r="I23" s="1"/>
    </row>
    <row r="24" spans="1:9" x14ac:dyDescent="0.25">
      <c r="A24" s="1"/>
      <c r="B24" s="104" t="s">
        <v>62</v>
      </c>
      <c r="C24" s="105"/>
      <c r="D24" s="105"/>
      <c r="E24" s="105"/>
      <c r="F24" s="106"/>
      <c r="G24" s="24">
        <v>-225386.97220148455</v>
      </c>
      <c r="H24" s="14" t="s">
        <v>3</v>
      </c>
      <c r="I24" s="1"/>
    </row>
    <row r="25" spans="1:9" x14ac:dyDescent="0.25">
      <c r="A25" s="1"/>
      <c r="B25" s="101" t="s">
        <v>63</v>
      </c>
      <c r="C25" s="102"/>
      <c r="D25" s="102"/>
      <c r="E25" s="102"/>
      <c r="F25" s="103"/>
      <c r="G25" s="24">
        <f>(G23+G24)*'Fane 12. Nøgletal'!C27</f>
        <v>292153.98926411744</v>
      </c>
      <c r="H25" s="14" t="s">
        <v>3</v>
      </c>
      <c r="I25" s="1"/>
    </row>
    <row r="26" spans="1:9" x14ac:dyDescent="0.25">
      <c r="A26" s="1"/>
      <c r="B26" s="47"/>
      <c r="C26" s="48"/>
      <c r="D26" s="48"/>
      <c r="E26" s="48"/>
      <c r="F26" s="48"/>
      <c r="G26" s="48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222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70</v>
      </c>
      <c r="C29" s="102"/>
      <c r="D29" s="102"/>
      <c r="E29" s="102"/>
      <c r="F29" s="103"/>
      <c r="G29" s="24">
        <f>(G23+G24-G25)*(1+'Fane 12. Nøgletal'!C13)</f>
        <v>14490195.128723841</v>
      </c>
      <c r="H29" s="14" t="s">
        <v>3</v>
      </c>
      <c r="I29" s="1"/>
    </row>
    <row r="30" spans="1:9" x14ac:dyDescent="0.25">
      <c r="A30" s="1"/>
      <c r="B30" s="101" t="s">
        <v>187</v>
      </c>
      <c r="C30" s="102"/>
      <c r="D30" s="102"/>
      <c r="E30" s="102"/>
      <c r="F30" s="103"/>
      <c r="G30" s="24">
        <f>SUM('Fane 2.1. Økonomisk ramme 2021'!C11,'Fane 2.1. Økonomisk ramme 2021'!C13,'Fane 2.1. Økonomisk ramme 2021'!C15)*(1+'Fane 12. Nøgletal'!C13)</f>
        <v>563243.67569231999</v>
      </c>
      <c r="H30" s="14" t="s">
        <v>3</v>
      </c>
      <c r="I30" s="1"/>
    </row>
    <row r="31" spans="1:9" x14ac:dyDescent="0.25">
      <c r="A31" s="1"/>
      <c r="B31" s="101" t="s">
        <v>199</v>
      </c>
      <c r="C31" s="102"/>
      <c r="D31" s="102"/>
      <c r="E31" s="102"/>
      <c r="F31" s="103"/>
      <c r="G31" s="24">
        <f>(G29+G30)*'Fane 12. Nøgletal'!C27</f>
        <v>301068.77608832321</v>
      </c>
      <c r="H31" s="14" t="s">
        <v>3</v>
      </c>
      <c r="I31" s="1"/>
    </row>
    <row r="32" spans="1:9" x14ac:dyDescent="0.25">
      <c r="A32" s="1"/>
      <c r="B32" s="47"/>
      <c r="C32" s="48"/>
      <c r="D32" s="48"/>
      <c r="E32" s="48"/>
      <c r="F32" s="48"/>
      <c r="G32" s="48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223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90</v>
      </c>
      <c r="C35" s="102"/>
      <c r="D35" s="102"/>
      <c r="E35" s="102"/>
      <c r="F35" s="103"/>
      <c r="G35" s="24">
        <f>(G29+G30-G31)*(1+'Fane 12. Nøgletal'!C13)</f>
        <v>14932348.942673437</v>
      </c>
      <c r="H35" s="14" t="s">
        <v>3</v>
      </c>
      <c r="I35" s="1"/>
    </row>
    <row r="36" spans="1:9" x14ac:dyDescent="0.25">
      <c r="A36" s="1"/>
      <c r="B36" s="101" t="s">
        <v>102</v>
      </c>
      <c r="C36" s="102"/>
      <c r="D36" s="102"/>
      <c r="E36" s="102"/>
      <c r="F36" s="103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1" t="s">
        <v>224</v>
      </c>
      <c r="C37" s="102"/>
      <c r="D37" s="102"/>
      <c r="E37" s="102"/>
      <c r="F37" s="103"/>
      <c r="G37" s="24">
        <f>(G35+G36)*'Fane 12. Nøgletal'!C27</f>
        <v>298646.97885346872</v>
      </c>
      <c r="H37" s="14" t="s">
        <v>3</v>
      </c>
      <c r="I37" s="1"/>
    </row>
    <row r="38" spans="1:9" x14ac:dyDescent="0.25">
      <c r="A38" s="1"/>
      <c r="B38" s="47"/>
      <c r="C38" s="48"/>
      <c r="D38" s="48"/>
      <c r="E38" s="48"/>
      <c r="F38" s="48"/>
      <c r="G38" s="48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91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89</v>
      </c>
      <c r="C41" s="102"/>
      <c r="D41" s="102"/>
      <c r="E41" s="102"/>
      <c r="F41" s="103"/>
      <c r="G41" s="24">
        <f>(G35+G36-G37)*(1+'Fane 12. Nøgletal'!C13)</f>
        <v>14812233.127778573</v>
      </c>
      <c r="H41" s="14" t="s">
        <v>3</v>
      </c>
      <c r="I41" s="1"/>
    </row>
    <row r="42" spans="1:9" x14ac:dyDescent="0.25">
      <c r="A42" s="1"/>
      <c r="B42" s="101" t="s">
        <v>103</v>
      </c>
      <c r="C42" s="102"/>
      <c r="D42" s="102"/>
      <c r="E42" s="102"/>
      <c r="F42" s="103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1" t="s">
        <v>71</v>
      </c>
      <c r="C43" s="102"/>
      <c r="D43" s="102"/>
      <c r="E43" s="102"/>
      <c r="F43" s="103"/>
      <c r="G43" s="24">
        <f>(G41+G42)*'Fane 12. Nøgletal'!C27</f>
        <v>296244.66255557147</v>
      </c>
      <c r="H43" s="14" t="s">
        <v>3</v>
      </c>
      <c r="I43" s="1"/>
    </row>
    <row r="44" spans="1:9" x14ac:dyDescent="0.25">
      <c r="A44" s="1"/>
      <c r="B44" s="47"/>
      <c r="C44" s="48"/>
      <c r="D44" s="48"/>
      <c r="E44" s="48"/>
      <c r="F44" s="48"/>
      <c r="G44" s="48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8" t="s">
        <v>188</v>
      </c>
      <c r="C46" s="99"/>
      <c r="D46" s="99"/>
      <c r="E46" s="99"/>
      <c r="F46" s="99"/>
      <c r="G46" s="99"/>
      <c r="H46" s="100"/>
      <c r="I46" s="1"/>
    </row>
    <row r="47" spans="1:9" x14ac:dyDescent="0.25">
      <c r="A47" s="1"/>
      <c r="B47" s="101" t="s">
        <v>189</v>
      </c>
      <c r="C47" s="102"/>
      <c r="D47" s="102"/>
      <c r="E47" s="102"/>
      <c r="F47" s="103"/>
      <c r="G47" s="24">
        <f>(G41+G42-G43)*(1+'Fane 12. Nøgletal'!C13)</f>
        <v>14693083.524498722</v>
      </c>
      <c r="H47" s="14" t="s">
        <v>3</v>
      </c>
      <c r="I47" s="1"/>
    </row>
    <row r="48" spans="1:9" x14ac:dyDescent="0.25">
      <c r="A48" s="1"/>
      <c r="B48" s="101" t="s">
        <v>190</v>
      </c>
      <c r="C48" s="102"/>
      <c r="D48" s="102"/>
      <c r="E48" s="102"/>
      <c r="F48" s="103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1" t="s">
        <v>191</v>
      </c>
      <c r="C49" s="102"/>
      <c r="D49" s="102"/>
      <c r="E49" s="102"/>
      <c r="F49" s="103"/>
      <c r="G49" s="24">
        <f>(G47+G48)*'Fane 12. Nøgletal'!C27</f>
        <v>293861.67048997444</v>
      </c>
      <c r="H49" s="14" t="s">
        <v>3</v>
      </c>
      <c r="I49" s="1"/>
    </row>
    <row r="50" spans="1:9" x14ac:dyDescent="0.25">
      <c r="A50" s="1"/>
      <c r="B50" s="47"/>
      <c r="C50" s="48"/>
      <c r="D50" s="48"/>
      <c r="E50" s="48"/>
      <c r="F50" s="48"/>
      <c r="G50" s="48"/>
      <c r="H50" s="20"/>
      <c r="I50" s="1"/>
    </row>
  </sheetData>
  <sheetProtection algorithmName="SHA-512" hashValue="C+ZMpU08PrrZ5iUnHZtv/7hypvusGalBCBI8HEJpPuPzLchdQS0pylovL7L+UCHTe+zeuHIVuRE/w0Yg5ZiIBQ==" saltValue="K0hy9Bvr4phL/4zccJhebw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7" t="s">
        <v>139</v>
      </c>
      <c r="C2" s="107"/>
      <c r="D2" s="107"/>
      <c r="E2" s="107"/>
      <c r="F2" s="107"/>
      <c r="G2" s="107"/>
      <c r="H2" s="107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8" t="s">
        <v>68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72</v>
      </c>
      <c r="C5" s="102"/>
      <c r="D5" s="102"/>
      <c r="E5" s="102"/>
      <c r="F5" s="103"/>
      <c r="G5" s="24">
        <v>11769938.010773305</v>
      </c>
      <c r="H5" s="14" t="s">
        <v>3</v>
      </c>
      <c r="I5" s="1"/>
    </row>
    <row r="6" spans="1:9" x14ac:dyDescent="0.25">
      <c r="A6" s="1"/>
      <c r="B6" s="101" t="s">
        <v>69</v>
      </c>
      <c r="C6" s="102"/>
      <c r="D6" s="102"/>
      <c r="E6" s="102"/>
      <c r="F6" s="103"/>
      <c r="G6" s="24">
        <f>G5*'Fane 12. Nøgletal'!C18</f>
        <v>107106.43589803707</v>
      </c>
      <c r="H6" s="14" t="s">
        <v>3</v>
      </c>
      <c r="I6" s="1"/>
    </row>
    <row r="7" spans="1:9" x14ac:dyDescent="0.25">
      <c r="A7" s="1"/>
      <c r="B7" s="47"/>
      <c r="C7" s="48"/>
      <c r="D7" s="48"/>
      <c r="E7" s="48"/>
      <c r="F7" s="48"/>
      <c r="G7" s="48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73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74</v>
      </c>
      <c r="C10" s="102"/>
      <c r="D10" s="102"/>
      <c r="E10" s="102"/>
      <c r="F10" s="103"/>
      <c r="G10" s="24">
        <f>(G5-G6)*(1+'Fane 12. Nøgletal'!C9)</f>
        <v>11810949.535876183</v>
      </c>
      <c r="H10" s="14" t="s">
        <v>3</v>
      </c>
      <c r="I10" s="1"/>
    </row>
    <row r="11" spans="1:9" x14ac:dyDescent="0.25">
      <c r="A11" s="1"/>
      <c r="B11" s="104" t="s">
        <v>75</v>
      </c>
      <c r="C11" s="105"/>
      <c r="D11" s="105"/>
      <c r="E11" s="105"/>
      <c r="F11" s="106"/>
      <c r="G11" s="24">
        <v>0</v>
      </c>
      <c r="H11" s="14" t="s">
        <v>3</v>
      </c>
      <c r="I11" s="1"/>
    </row>
    <row r="12" spans="1:9" x14ac:dyDescent="0.25">
      <c r="A12" s="1"/>
      <c r="B12" s="101" t="s">
        <v>76</v>
      </c>
      <c r="C12" s="102"/>
      <c r="D12" s="102"/>
      <c r="E12" s="102"/>
      <c r="F12" s="103"/>
      <c r="G12" s="24">
        <f>G10*'Fane 12. Nøgletal'!C18+G11*'Fane 12. Nøgletal'!C19</f>
        <v>107479.64077647327</v>
      </c>
      <c r="H12" s="14" t="s">
        <v>3</v>
      </c>
      <c r="I12" s="1"/>
    </row>
    <row r="13" spans="1:9" x14ac:dyDescent="0.25">
      <c r="A13" s="1"/>
      <c r="B13" s="47"/>
      <c r="C13" s="48"/>
      <c r="D13" s="48"/>
      <c r="E13" s="48"/>
      <c r="F13" s="48"/>
      <c r="G13" s="48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77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78</v>
      </c>
      <c r="C16" s="102"/>
      <c r="D16" s="102"/>
      <c r="E16" s="102"/>
      <c r="F16" s="103"/>
      <c r="G16" s="24">
        <f>(G10+G11-G12)*(1+'Fane 12. Nøgletal'!C11)</f>
        <v>11901258.536326893</v>
      </c>
      <c r="H16" s="14" t="s">
        <v>3</v>
      </c>
      <c r="I16" s="1"/>
    </row>
    <row r="17" spans="1:9" x14ac:dyDescent="0.25">
      <c r="A17" s="1"/>
      <c r="B17" s="101" t="s">
        <v>149</v>
      </c>
      <c r="C17" s="102"/>
      <c r="D17" s="102"/>
      <c r="E17" s="102"/>
      <c r="F17" s="103"/>
      <c r="G17" s="24">
        <v>184015.40054029608</v>
      </c>
      <c r="H17" s="14" t="s">
        <v>3</v>
      </c>
      <c r="I17" s="1"/>
    </row>
    <row r="18" spans="1:9" x14ac:dyDescent="0.25">
      <c r="A18" s="1"/>
      <c r="B18" s="104" t="s">
        <v>79</v>
      </c>
      <c r="C18" s="105"/>
      <c r="D18" s="105"/>
      <c r="E18" s="105"/>
      <c r="F18" s="106"/>
      <c r="G18" s="24">
        <v>10650.047697389997</v>
      </c>
      <c r="H18" s="14" t="s">
        <v>3</v>
      </c>
      <c r="I18" s="1"/>
    </row>
    <row r="19" spans="1:9" x14ac:dyDescent="0.25">
      <c r="A19" s="1"/>
      <c r="B19" s="101" t="s">
        <v>80</v>
      </c>
      <c r="C19" s="102"/>
      <c r="D19" s="102"/>
      <c r="E19" s="102"/>
      <c r="F19" s="103"/>
      <c r="G19" s="24">
        <f>SUM(G16:G18)*'Fane 12. Nøgletal'!C20</f>
        <v>105234.53866571182</v>
      </c>
      <c r="H19" s="14" t="s">
        <v>3</v>
      </c>
      <c r="I19" s="1"/>
    </row>
    <row r="20" spans="1:9" x14ac:dyDescent="0.25">
      <c r="A20" s="1"/>
      <c r="B20" s="47"/>
      <c r="C20" s="48"/>
      <c r="D20" s="48"/>
      <c r="E20" s="48"/>
      <c r="F20" s="48"/>
      <c r="G20" s="48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81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82</v>
      </c>
      <c r="C23" s="102"/>
      <c r="D23" s="102"/>
      <c r="E23" s="102"/>
      <c r="F23" s="103"/>
      <c r="G23" s="24">
        <f>(SUM(G16:G18)-G19)*(1+'Fane 12. Nøgletal'!C11)</f>
        <v>12193332.097534556</v>
      </c>
      <c r="H23" s="14" t="s">
        <v>3</v>
      </c>
      <c r="I23" s="1"/>
    </row>
    <row r="24" spans="1:9" x14ac:dyDescent="0.25">
      <c r="A24" s="1"/>
      <c r="B24" s="104" t="s">
        <v>83</v>
      </c>
      <c r="C24" s="105"/>
      <c r="D24" s="105"/>
      <c r="E24" s="105"/>
      <c r="F24" s="106"/>
      <c r="G24" s="24">
        <v>239726.46835202377</v>
      </c>
      <c r="H24" s="14" t="s">
        <v>3</v>
      </c>
      <c r="I24" s="1"/>
    </row>
    <row r="25" spans="1:9" x14ac:dyDescent="0.25">
      <c r="A25" s="1"/>
      <c r="B25" s="101" t="s">
        <v>84</v>
      </c>
      <c r="C25" s="102"/>
      <c r="D25" s="102"/>
      <c r="E25" s="102"/>
      <c r="F25" s="103"/>
      <c r="G25" s="24">
        <f>G23*'Fane 12. Nøgletal'!C20+G24*'Fane 12. Nøgletal'!C21</f>
        <v>112890.22094974811</v>
      </c>
      <c r="H25" s="14" t="s">
        <v>3</v>
      </c>
      <c r="I25" s="1"/>
    </row>
    <row r="26" spans="1:9" x14ac:dyDescent="0.25">
      <c r="A26" s="1"/>
      <c r="B26" s="47"/>
      <c r="C26" s="48"/>
      <c r="D26" s="48"/>
      <c r="E26" s="48"/>
      <c r="F26" s="48"/>
      <c r="G26" s="48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220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85</v>
      </c>
      <c r="C29" s="102"/>
      <c r="D29" s="102"/>
      <c r="E29" s="102"/>
      <c r="F29" s="103"/>
      <c r="G29" s="24">
        <f>(G23+G24-G25)*(1+'Fane 12. Nøgletal'!C13)</f>
        <v>12470474.39874506</v>
      </c>
      <c r="H29" s="14" t="s">
        <v>3</v>
      </c>
      <c r="I29" s="1"/>
    </row>
    <row r="30" spans="1:9" x14ac:dyDescent="0.25">
      <c r="A30" s="1"/>
      <c r="B30" s="101" t="s">
        <v>192</v>
      </c>
      <c r="C30" s="102"/>
      <c r="D30" s="102"/>
      <c r="E30" s="102"/>
      <c r="F30" s="103"/>
      <c r="G30" s="24">
        <f>SUM('Fane 2.1. Økonomisk ramme 2021'!C12,'Fane 2.1. Økonomisk ramme 2021'!C14,'Fane 2.1. Økonomisk ramme 2021'!C16)*(1+'Fane 12. Nøgletal'!C13)</f>
        <v>689447.60180352</v>
      </c>
      <c r="H30" s="14" t="s">
        <v>3</v>
      </c>
      <c r="I30" s="1"/>
    </row>
    <row r="31" spans="1:9" x14ac:dyDescent="0.25">
      <c r="A31" s="1"/>
      <c r="B31" s="101" t="s">
        <v>221</v>
      </c>
      <c r="C31" s="102"/>
      <c r="D31" s="102"/>
      <c r="E31" s="102"/>
      <c r="F31" s="103"/>
      <c r="G31" s="24">
        <f>(G29+G30)*'Fane 12. Nøgletal'!C22</f>
        <v>361897.85501508595</v>
      </c>
      <c r="H31" s="14" t="s">
        <v>3</v>
      </c>
      <c r="I31" s="1"/>
    </row>
    <row r="32" spans="1:9" x14ac:dyDescent="0.25">
      <c r="A32" s="1"/>
      <c r="B32" s="47"/>
      <c r="C32" s="48"/>
      <c r="D32" s="48"/>
      <c r="E32" s="48"/>
      <c r="F32" s="48"/>
      <c r="G32" s="48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225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88</v>
      </c>
      <c r="C35" s="102"/>
      <c r="D35" s="102"/>
      <c r="E35" s="102"/>
      <c r="F35" s="103"/>
      <c r="G35" s="24">
        <f>(G29+G30-G31)*(1+'Fane 12. Nøgletal'!C13)</f>
        <v>12954160.040109003</v>
      </c>
      <c r="H35" s="14" t="s">
        <v>3</v>
      </c>
      <c r="I35" s="1"/>
    </row>
    <row r="36" spans="1:9" x14ac:dyDescent="0.25">
      <c r="A36" s="1"/>
      <c r="B36" s="101" t="s">
        <v>107</v>
      </c>
      <c r="C36" s="102"/>
      <c r="D36" s="102"/>
      <c r="E36" s="102"/>
      <c r="F36" s="103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1" t="s">
        <v>226</v>
      </c>
      <c r="C37" s="102"/>
      <c r="D37" s="102"/>
      <c r="E37" s="102"/>
      <c r="F37" s="103"/>
      <c r="G37" s="24">
        <f>(G35+G36)*'Fane 12. Nøgletal'!C22</f>
        <v>356239.4011029976</v>
      </c>
      <c r="H37" s="14" t="s">
        <v>3</v>
      </c>
      <c r="I37" s="1"/>
    </row>
    <row r="38" spans="1:9" x14ac:dyDescent="0.25">
      <c r="A38" s="1"/>
      <c r="B38" s="47"/>
      <c r="C38" s="48"/>
      <c r="D38" s="48"/>
      <c r="E38" s="48"/>
      <c r="F38" s="48"/>
      <c r="G38" s="48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92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87</v>
      </c>
      <c r="C41" s="102"/>
      <c r="D41" s="102"/>
      <c r="E41" s="102"/>
      <c r="F41" s="103"/>
      <c r="G41" s="24">
        <f>(G35+G36-G37)*(1+'Fane 12. Nøgletal'!C13)</f>
        <v>12751615.270801879</v>
      </c>
      <c r="H41" s="14" t="s">
        <v>3</v>
      </c>
      <c r="I41" s="1"/>
    </row>
    <row r="42" spans="1:9" x14ac:dyDescent="0.25">
      <c r="A42" s="1"/>
      <c r="B42" s="101" t="s">
        <v>108</v>
      </c>
      <c r="C42" s="102"/>
      <c r="D42" s="102"/>
      <c r="E42" s="102"/>
      <c r="F42" s="103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1" t="s">
        <v>86</v>
      </c>
      <c r="C43" s="102"/>
      <c r="D43" s="102"/>
      <c r="E43" s="102"/>
      <c r="F43" s="103"/>
      <c r="G43" s="24">
        <f>(G41+G42)*'Fane 12. Nøgletal'!C22</f>
        <v>350669.41994705168</v>
      </c>
      <c r="H43" s="14" t="s">
        <v>3</v>
      </c>
      <c r="I43" s="1"/>
    </row>
    <row r="44" spans="1:9" x14ac:dyDescent="0.25">
      <c r="A44" s="1"/>
      <c r="B44" s="47"/>
      <c r="C44" s="48"/>
      <c r="D44" s="48"/>
      <c r="E44" s="48"/>
      <c r="F44" s="48"/>
      <c r="G44" s="48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8" t="s">
        <v>193</v>
      </c>
      <c r="C46" s="99"/>
      <c r="D46" s="99"/>
      <c r="E46" s="99"/>
      <c r="F46" s="99"/>
      <c r="G46" s="99"/>
      <c r="H46" s="100"/>
      <c r="I46" s="1"/>
    </row>
    <row r="47" spans="1:9" x14ac:dyDescent="0.25">
      <c r="A47" s="1"/>
      <c r="B47" s="101" t="s">
        <v>194</v>
      </c>
      <c r="C47" s="102"/>
      <c r="D47" s="102"/>
      <c r="E47" s="102"/>
      <c r="F47" s="103"/>
      <c r="G47" s="24">
        <f>(G41+G42-G43)*(1+'Fane 12. Nøgletal'!C13)</f>
        <v>12552237.390235256</v>
      </c>
      <c r="H47" s="14" t="s">
        <v>3</v>
      </c>
      <c r="I47" s="1"/>
    </row>
    <row r="48" spans="1:9" x14ac:dyDescent="0.25">
      <c r="A48" s="1"/>
      <c r="B48" s="101" t="s">
        <v>195</v>
      </c>
      <c r="C48" s="102"/>
      <c r="D48" s="102"/>
      <c r="E48" s="102"/>
      <c r="F48" s="103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1" t="s">
        <v>196</v>
      </c>
      <c r="C49" s="102"/>
      <c r="D49" s="102"/>
      <c r="E49" s="102"/>
      <c r="F49" s="103"/>
      <c r="G49" s="24">
        <f>(G47+G48)*'Fane 12. Nøgletal'!C22</f>
        <v>345186.52823146957</v>
      </c>
      <c r="H49" s="14" t="s">
        <v>3</v>
      </c>
      <c r="I49" s="1"/>
    </row>
    <row r="50" spans="1:9" x14ac:dyDescent="0.25">
      <c r="A50" s="1"/>
      <c r="B50" s="47"/>
      <c r="C50" s="48"/>
      <c r="D50" s="48"/>
      <c r="E50" s="48"/>
      <c r="F50" s="48"/>
      <c r="G50" s="48"/>
      <c r="H50" s="20"/>
      <c r="I50" s="1"/>
    </row>
  </sheetData>
  <sheetProtection algorithmName="SHA-512" hashValue="06Xo7jmhqQCnwnI40eXrBxiG9R9ZvnS1bFaHEHf+whrF1OWwE3ZPojrEtqWCBBQMoKv1mgolUre3pG4H3fDU0Q==" saltValue="+lf865wXvVd9vOn2imfJmg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101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124</v>
      </c>
      <c r="C9" s="102"/>
      <c r="D9" s="102"/>
      <c r="E9" s="102"/>
      <c r="F9" s="103"/>
      <c r="G9" s="23">
        <v>1.5548815875560662E-3</v>
      </c>
      <c r="H9" s="14"/>
      <c r="I9" s="1"/>
    </row>
    <row r="10" spans="1:9" x14ac:dyDescent="0.25">
      <c r="A10" s="1"/>
      <c r="B10" s="101" t="s">
        <v>181</v>
      </c>
      <c r="C10" s="102"/>
      <c r="D10" s="102"/>
      <c r="E10" s="102"/>
      <c r="F10" s="103"/>
      <c r="G10" s="23">
        <v>0</v>
      </c>
      <c r="H10" s="14"/>
      <c r="I10" s="1"/>
    </row>
    <row r="11" spans="1:9" x14ac:dyDescent="0.25">
      <c r="A11" s="1"/>
      <c r="B11" s="47"/>
      <c r="C11" s="48"/>
      <c r="D11" s="48"/>
      <c r="E11" s="48"/>
      <c r="F11" s="48"/>
      <c r="G11" s="48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8" t="s">
        <v>227</v>
      </c>
      <c r="C13" s="108"/>
      <c r="D13" s="108"/>
      <c r="E13" s="108"/>
      <c r="F13" s="108"/>
      <c r="G13" s="108"/>
      <c r="H13" s="10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MX4pZ5ovHyupQ4kGwn/d/XJwpLwgq9Dcazlk5PHLczKX8PBiSAjEn0zaqmr//KxHJ20dgfbwOaf2rIhZEoSfQ==" saltValue="xQMHsNruQeqkf+QljcqM7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2020-10-30T17:22:28Z</dcterms:modified>
</cp:coreProperties>
</file>