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Ishøj Vand AS (V10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0" i="32" l="1"/>
  <c r="E26" i="32" l="1"/>
  <c r="C30" i="2" s="1"/>
  <c r="E37" i="32" l="1"/>
  <c r="C13" i="19"/>
  <c r="C23" i="23" l="1"/>
  <c r="C23" i="22"/>
  <c r="C24" i="15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<sst xmlns="http://schemas.openxmlformats.org/spreadsheetml/2006/main" count="618" uniqueCount="253">
  <si>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</si>
  <si>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</si>
  <si>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</si>
  <si>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</si>
  <si>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</si>
  <si>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</si>
  <si>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</si>
  <si>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</si>
  <si>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</si>
  <si>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</si>
  <si>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</si>
  <si>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</si>
  <si>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</si>
  <si>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</si>
  <si>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</si>
  <si>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</si>
  <si>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</si>
  <si>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</si>
  <si>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</si>
  <si>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</si>
  <si>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</si>
  <si>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</si>
  <si>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</si>
  <si>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</si>
  <si>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</si>
  <si>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</si>
  <si>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</si>
  <si>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</si>
  <si>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</si>
  <si>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</si>
  <si>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</si>
  <si>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</si>
  <si>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</si>
  <si>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</si>
  <si>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</si>
  <si>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</si>
  <si>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</si>
  <si>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</si>
  <si>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</si>
  <si>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</si>
  <si>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</si>
  <si>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</si>
  <si>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</si>
  <si>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</si>
  <si>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</si>
  <si>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</si>
  <si>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</si>
  <si>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</si>
  <si>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</si>
  <si>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</si>
  <si>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</si>
  <si>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</si>
  <si>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</si>
  <si>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</si>
  <si>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</si>
  <si>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</si>
  <si>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</si>
  <si>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</si>
  <si>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</si>
  <si>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</si>
  <si>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</si>
  <si>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</si>
  <si>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</si>
  <si>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</si>
  <si>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</si>
  <si>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</si>
  <si>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</si>
  <si>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</si>
  <si>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</si>
  <si>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</si>
  <si>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</si>
  <si>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</si>
  <si>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</si>
  <si>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</si>
  <si>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</si>
  <si>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</si>
  <si>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</si>
  <si>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</si>
  <si>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</si>
  <si>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</si>
  <si>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</si>
  <si>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</si>
  <si>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</si>
  <si>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</si>
  <si>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</si>
  <si>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</si>
  <si>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</si>
  <si>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</si>
  <si>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</si>
  <si>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</si>
  <si>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</si>
  <si>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</si>
  <si>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</si>
  <si>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</si>
  <si>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</si>
  <si>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</si>
  <si>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</si>
  <si>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</si>
  <si>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</si>
  <si>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</si>
  <si>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</si>
  <si>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</si>
  <si>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</si>
  <si>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</si>
  <si>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</si>
  <si>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</si>
  <si>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</si>
  <si>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</si>
  <si>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</si>
  <si>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</si>
  <si>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</si>
  <si>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</si>
  <si>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</si>
  <si>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</si>
  <si>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</si>
  <si>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</si>
  <si>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</si>
  <si>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</si>
  <si>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</si>
  <si>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</si>
  <si>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</si>
  <si>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</si>
  <si>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</si>
  <si>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</si>
  <si>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</si>
  <si>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</si>
  <si>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</si>
  <si>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</si>
  <si>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</si>
  <si>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</si>
  <si>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</si>
  <si>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</si>
  <si>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</si>
  <si>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</si>
  <si>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</si>
  <si>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</si>
  <si>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</si>
  <si>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</si>
  <si>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</si>
  <si>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</si>
  <si>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</si>
  <si>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</si>
  <si>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</si>
  <si>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</si>
  <si>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</si>
  <si>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</si>
  <si>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</si>
  <si>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</si>
  <si>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</si>
  <si>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</si>
  <si>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</si>
  <si>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</si>
  <si>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</si>
  <si>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</si>
  <si>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</si>
  <si>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</si>
  <si>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</si>
  <si>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</si>
  <si>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</si>
  <si>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</si>
  <si>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</si>
  <si>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</si>
  <si>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</si>
  <si>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</si>
  <si>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</si>
  <si>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</si>
  <si>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</si>
  <si>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</si>
  <si>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</si>
  <si>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</si>
  <si>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</si>
  <si>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</si>
  <si>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</si>
  <si>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</si>
  <si>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</si>
  <si>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</si>
  <si>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</si>
  <si>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</si>
  <si>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</si>
  <si>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</si>
  <si>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</si>
  <si>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</si>
  <si>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</si>
  <si>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</si>
  <si>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</si>
  <si>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</si>
  <si>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</si>
  <si>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</si>
  <si>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</si>
  <si>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</si>
  <si>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</si>
  <si>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</si>
  <si>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</si>
  <si>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</si>
  <si>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</si>
  <si>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</si>
  <si>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</si>
  <si>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</si>
  <si>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</si>
  <si>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</si>
  <si>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</si>
  <si>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</si>
  <si>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</si>
  <si>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</si>
  <si>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</si>
  <si>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</si>
  <si>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</si>
  <si>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</si>
  <si>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</si>
  <si>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</si>
  <si>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</si>
  <si>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</si>
  <si>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</si>
  <si>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</si>
  <si>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</si>
  <si>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</si>
  <si>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</si>
  <si>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</si>
  <si>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</si>
  <si>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</si>
  <si>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</si>
  <si>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</si>
  <si>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</si>
  <si>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</si>
  <si>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</si>
  <si>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</si>
  <si>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</si>
  <si>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Udvidelse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</si>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</sst>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3">
          <cell r="A3" t="str">
            <v>S016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8+ybCUZ/vZixf/iEnjrsfuXgV2OmMSlQaxsic7gYwkGyKbi2N+T5nLNDKrnWszICvacqD/FHkyp3Kp3LMCGzg==" saltValue="U/p1gBIn8LYaC02ln+S/h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6" t="s">
        <v>229</v>
      </c>
      <c r="C10" s="9">
        <v>6612970</v>
      </c>
      <c r="D10" s="14" t="s">
        <v>3</v>
      </c>
      <c r="E10" s="1"/>
      <c r="F10" s="1"/>
    </row>
    <row r="11" spans="1:6" x14ac:dyDescent="0.25">
      <c r="A11" s="1"/>
      <c r="B11" s="66" t="s">
        <v>230</v>
      </c>
      <c r="C11" s="9">
        <v>58309</v>
      </c>
      <c r="D11" s="14" t="s">
        <v>3</v>
      </c>
      <c r="E11" s="1"/>
      <c r="F11" s="1"/>
    </row>
    <row r="12" spans="1:6" x14ac:dyDescent="0.25">
      <c r="A12" s="1"/>
      <c r="B12" s="66" t="s">
        <v>231</v>
      </c>
      <c r="C12" s="9">
        <v>3612978</v>
      </c>
      <c r="D12" s="14" t="s">
        <v>3</v>
      </c>
      <c r="E12" s="1"/>
      <c r="F12" s="1"/>
    </row>
    <row r="13" spans="1:6" x14ac:dyDescent="0.25">
      <c r="A13" s="1"/>
      <c r="B13" s="54" t="s">
        <v>205</v>
      </c>
      <c r="C13" s="12">
        <f>SUM(C10:C12)</f>
        <v>10284257</v>
      </c>
      <c r="D13" s="13" t="s">
        <v>3</v>
      </c>
      <c r="E13" s="1"/>
      <c r="F13" s="1"/>
    </row>
    <row r="14" spans="1:6" x14ac:dyDescent="0.25">
      <c r="A14" s="1"/>
      <c r="B14" s="54" t="s">
        <v>206</v>
      </c>
      <c r="C14" s="12">
        <f>C13*(1+'Fane 12. Nøgletal'!C14)^2</f>
        <v>10352245.091758732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xNZgbPe/csKwRBvz4QeOcnxTS85TAZfBeoafiDcoqw8bN4bb36wN6+dGdZrywauXsU+ykhpwHghG9P6xDJxWmQ==" saltValue="av3UdPDqXzDgIjzmYAQa4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234</v>
      </c>
      <c r="C8" s="116"/>
      <c r="D8" s="116"/>
      <c r="E8" s="116"/>
      <c r="F8" s="117"/>
      <c r="G8" s="1"/>
    </row>
    <row r="9" spans="1:7" x14ac:dyDescent="0.25">
      <c r="A9" s="1"/>
      <c r="B9" s="112" t="s">
        <v>235</v>
      </c>
      <c r="C9" s="113"/>
      <c r="D9" s="114"/>
      <c r="E9" s="9">
        <v>-1186924.2494604215</v>
      </c>
      <c r="F9" s="14" t="s">
        <v>3</v>
      </c>
      <c r="G9" s="1"/>
    </row>
    <row r="10" spans="1:7" x14ac:dyDescent="0.25">
      <c r="A10" s="1"/>
      <c r="B10" s="112" t="s">
        <v>236</v>
      </c>
      <c r="C10" s="113"/>
      <c r="D10" s="114"/>
      <c r="E10" s="9">
        <v>93146.541099563241</v>
      </c>
      <c r="F10" s="14" t="s">
        <v>3</v>
      </c>
      <c r="G10" s="1"/>
    </row>
    <row r="11" spans="1:7" x14ac:dyDescent="0.25">
      <c r="A11" s="1"/>
      <c r="B11" s="112" t="s">
        <v>237</v>
      </c>
      <c r="C11" s="113"/>
      <c r="D11" s="114"/>
      <c r="E11" s="9">
        <v>2116496.8246015385</v>
      </c>
      <c r="F11" s="14" t="s">
        <v>3</v>
      </c>
      <c r="G11" s="1"/>
    </row>
    <row r="12" spans="1:7" x14ac:dyDescent="0.25">
      <c r="A12" s="1"/>
      <c r="B12" s="112" t="s">
        <v>238</v>
      </c>
      <c r="C12" s="113"/>
      <c r="D12" s="114"/>
      <c r="E12" s="9">
        <f>IF(OR(AND(E10&gt;0,E11&lt;0),AND(E11&lt;0,E34&gt;0)),E17+E18,E11)</f>
        <v>2116496.8246015385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91" t="s">
        <v>239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240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241</v>
      </c>
      <c r="C17" s="113"/>
      <c r="D17" s="114"/>
      <c r="E17" s="9">
        <v>0</v>
      </c>
      <c r="F17" s="14" t="s">
        <v>3</v>
      </c>
      <c r="G17" s="1"/>
    </row>
    <row r="18" spans="1:7" x14ac:dyDescent="0.25">
      <c r="A18" s="1"/>
      <c r="B18" s="112" t="s">
        <v>242</v>
      </c>
      <c r="C18" s="113"/>
      <c r="D18" s="114"/>
      <c r="E18" s="9">
        <v>0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91" t="s">
        <v>243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3" t="s">
        <v>207</v>
      </c>
      <c r="C22" s="64"/>
      <c r="D22" s="64"/>
      <c r="E22" s="64"/>
      <c r="F22" s="65"/>
      <c r="G22" s="1"/>
    </row>
    <row r="23" spans="1:7" x14ac:dyDescent="0.25">
      <c r="A23" s="1"/>
      <c r="B23" s="60" t="s">
        <v>208</v>
      </c>
      <c r="C23" s="61"/>
      <c r="D23" s="62"/>
      <c r="E23" s="9">
        <v>18931408.308897588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21242983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7" t="s">
        <v>250</v>
      </c>
      <c r="C26" s="68"/>
      <c r="D26" s="69"/>
      <c r="E26" s="45">
        <f>E23-(E24-E25)</f>
        <v>-2311574.6911024116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244</v>
      </c>
      <c r="C29" s="116"/>
      <c r="D29" s="116"/>
      <c r="E29" s="116"/>
      <c r="F29" s="117"/>
      <c r="G29" s="1"/>
    </row>
    <row r="30" spans="1:7" x14ac:dyDescent="0.25">
      <c r="A30" s="1"/>
      <c r="B30" s="130" t="s">
        <v>245</v>
      </c>
      <c r="C30" s="131"/>
      <c r="D30" s="132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246</v>
      </c>
      <c r="C33" s="116"/>
      <c r="D33" s="116"/>
      <c r="E33" s="116"/>
      <c r="F33" s="117"/>
      <c r="G33" s="1"/>
    </row>
    <row r="34" spans="1:7" x14ac:dyDescent="0.25">
      <c r="A34" s="1"/>
      <c r="B34" s="137" t="s">
        <v>251</v>
      </c>
      <c r="C34" s="138"/>
      <c r="D34" s="139"/>
      <c r="E34" s="9">
        <v>2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v>-126594.9798304094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3" t="s">
        <v>160</v>
      </c>
      <c r="C37" s="133"/>
      <c r="D37" s="133"/>
      <c r="E37" s="10">
        <f>E35/E36</f>
        <v>-31648.74495760235</v>
      </c>
      <c r="F37" s="17" t="s">
        <v>3</v>
      </c>
      <c r="G37" s="1"/>
    </row>
    <row r="38" spans="1:7" x14ac:dyDescent="0.25">
      <c r="A38" s="1"/>
      <c r="B38" s="134"/>
      <c r="C38" s="135"/>
      <c r="D38" s="135"/>
      <c r="E38" s="135"/>
      <c r="F38" s="136"/>
      <c r="G38" s="1"/>
    </row>
    <row r="39" spans="1:7" ht="75" customHeight="1" x14ac:dyDescent="0.25">
      <c r="A39" s="1"/>
      <c r="B39" s="91" t="s">
        <v>249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s2MAXuYcyiNjri0isJwUmMlVsPAME4ZgFabimxD0EW/CeGgkb0PRQoMNm5m+RWQOpQKr4a2RaNFz5KnTtHZoQ==" saltValue="VVgFjI91eV77uPpp2Ucjdw==" spinCount="100000" sheet="1" objects="1" scenarios="1"/>
  <mergeCells count="21"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  <mergeCell ref="B30:D30"/>
    <mergeCell ref="B37:D37"/>
    <mergeCell ref="B3:F4"/>
    <mergeCell ref="B17:D17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7"/>
      <c r="I9" s="1"/>
    </row>
    <row r="10" spans="1:9" x14ac:dyDescent="0.25">
      <c r="A10" s="1"/>
      <c r="B10" s="47" t="s">
        <v>252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SGqFs7iWNeG5pZ7aipa/McL98fji09Nmvr8Cp9CEozPawA+xrWIPxIOPI1PRgrBIBNm5Abi1WOs08LpigUUdw==" saltValue="kMx/gLPn/g8KTwERebc7i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3757</v>
      </c>
      <c r="D11" s="14" t="s">
        <v>3</v>
      </c>
      <c r="E11" s="9">
        <v>31073</v>
      </c>
      <c r="F11" s="14" t="s">
        <v>3</v>
      </c>
      <c r="G11" s="1"/>
    </row>
    <row r="12" spans="1:7" x14ac:dyDescent="0.25">
      <c r="A12" s="1"/>
      <c r="B12" s="54" t="s">
        <v>136</v>
      </c>
      <c r="C12" s="12">
        <f>SUM(C10:C11)</f>
        <v>3757</v>
      </c>
      <c r="D12" s="13" t="s">
        <v>3</v>
      </c>
      <c r="E12" s="12">
        <f>SUM(E10:E11)</f>
        <v>31073</v>
      </c>
      <c r="F12" s="13" t="s">
        <v>3</v>
      </c>
      <c r="G12" s="1"/>
    </row>
    <row r="13" spans="1:7" x14ac:dyDescent="0.25">
      <c r="A13" s="1"/>
      <c r="B13" s="54" t="s">
        <v>210</v>
      </c>
      <c r="C13" s="12">
        <f>C12*(1+'Fane 12. Nøgletal'!C14)</f>
        <v>3769.3981000000003</v>
      </c>
      <c r="D13" s="13" t="s">
        <v>3</v>
      </c>
      <c r="E13" s="12">
        <f>E12*(1+'Fane 12. Nøgletal'!C14)</f>
        <v>31175.540900000004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WPH5yzHZshxHk8XwWbvmuK7WYuRI9ktCpeyjh0UzIIMBqn1QJmo2SatB0NreEhKLU97Hoo0Cz7rUaAkAQ/D3A==" saltValue="HVte2bX7urOSu94Io4T5K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232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57"/>
      <c r="G17" s="1"/>
    </row>
    <row r="18" spans="1:7" x14ac:dyDescent="0.25">
      <c r="A18" s="1"/>
      <c r="B18" s="25" t="s">
        <v>232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57"/>
      <c r="G25" s="1"/>
    </row>
    <row r="26" spans="1:7" x14ac:dyDescent="0.25">
      <c r="A26" s="1"/>
      <c r="B26" s="25" t="s">
        <v>232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57"/>
      <c r="G33" s="1"/>
    </row>
    <row r="34" spans="1:7" x14ac:dyDescent="0.25">
      <c r="A34" s="1"/>
      <c r="B34" s="25" t="s">
        <v>232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BBUjuojwbmKFQYOWf7sFmjazMtU+URWWfFHU55neZzPVXDAmIqIL4au4oqyEpJnIN9SvIjaAdAt4LTzFOnN+Hw==" saltValue="H3cg3Go7MWHRGxxiydCgQ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56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7kOfDvwU7iyeEQaMIDlOkCKdmIZEfGkq7fYefSqxa7dphWh6Cb/f7tPmQHDzWmlCVNZXEKCW/J+q59FOPSZlmA==" saltValue="g2psPXkoBftAlySYrOdda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56" t="s">
        <v>17</v>
      </c>
      <c r="C9" s="56" t="s">
        <v>11</v>
      </c>
      <c r="D9" s="57"/>
      <c r="E9" s="56" t="s">
        <v>32</v>
      </c>
      <c r="F9" s="57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56" t="s">
        <v>17</v>
      </c>
      <c r="C16" s="56" t="s">
        <v>11</v>
      </c>
      <c r="D16" s="57"/>
      <c r="E16" s="56" t="s">
        <v>32</v>
      </c>
      <c r="F16" s="57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56" t="s">
        <v>17</v>
      </c>
      <c r="C23" s="56" t="s">
        <v>11</v>
      </c>
      <c r="D23" s="57"/>
      <c r="E23" s="56" t="s">
        <v>32</v>
      </c>
      <c r="F23" s="57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56" t="s">
        <v>17</v>
      </c>
      <c r="C30" s="56" t="s">
        <v>11</v>
      </c>
      <c r="D30" s="57"/>
      <c r="E30" s="56" t="s">
        <v>32</v>
      </c>
      <c r="F30" s="57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EmUt7Jz/gWHTQIHy89VZ3GWYNDLIvzFPxelaXQZi2eH+L1XTBt5800+tzQ2ldsmhJvVjaKuGoZ3Zu/mgKZBzg==" saltValue="SSVVNsvwyIOBYTekYfLwT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9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4ZXGpBeIZv7+4tdn7cuKW+j6/3Q5KHl0dKR0JhQ/Wrivxy5HRdNvqRIP57umqQx1xn9n+ce+zFoMqTNgCFn1Zg==" saltValue="Np6nlfobCxPS5aKYIbutW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9" t="s">
        <v>24</v>
      </c>
      <c r="C9" s="7">
        <f>'Fane 3. Omkostninger i ØR2021'!E20</f>
        <v>7267595.5940811653</v>
      </c>
      <c r="D9" s="8" t="s">
        <v>3</v>
      </c>
      <c r="E9" s="1"/>
    </row>
    <row r="10" spans="1:5" x14ac:dyDescent="0.25">
      <c r="A10" s="1"/>
      <c r="B10" s="50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50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225169.5066881841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3769.3981000000003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31175.540900000004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88779.984546490232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-71286.828020155473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-114886.89542556182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7205146.7941819383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56" t="s">
        <v>12</v>
      </c>
      <c r="C24" s="10">
        <f>'Fane 6. Ikke-påvirkelige omk.'!C14</f>
        <v>10352245.091758732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70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70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17557391.885940671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LNiUcpFNwvAHkxV8KTye3TKlLVeg9jmmv1+mhyjKhn2spVCSh40p0AFjAjWd9cUMneJIGsYDp4Jny8k+xYoCnw==" saltValue="dI2QCiU3yu4/UNKxhgqSe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9" t="s">
        <v>134</v>
      </c>
      <c r="C9" s="7">
        <f>'Fane 2.1. Økonomisk ramme 2022'!C22</f>
        <v>7205146.7941819383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0" t="s">
        <v>18</v>
      </c>
      <c r="C12" s="9">
        <f>SUM(C9:C11)*'Fane 12. Nøgletal'!C14</f>
        <v>23776.984420800396</v>
      </c>
      <c r="D12" s="8" t="s">
        <v>3</v>
      </c>
      <c r="E12" s="1"/>
    </row>
    <row r="13" spans="1:5" ht="15" customHeight="1" x14ac:dyDescent="0.25">
      <c r="A13" s="1"/>
      <c r="B13" s="50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50" t="s">
        <v>25</v>
      </c>
      <c r="C14" s="9">
        <f>-'Fane 4.1. Gen. krav - drift'!G44</f>
        <v>-70091.633061569562</v>
      </c>
      <c r="D14" s="8" t="s">
        <v>3</v>
      </c>
      <c r="E14" s="1"/>
    </row>
    <row r="15" spans="1:5" ht="15" customHeight="1" x14ac:dyDescent="0.25">
      <c r="A15" s="1"/>
      <c r="B15" s="50" t="s">
        <v>26</v>
      </c>
      <c r="C15" s="9">
        <f>-'Fane 4.2. Gen. krav - anlæg'!G44</f>
        <v>-60542.630912892659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7098289.5146282772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56" t="s">
        <v>12</v>
      </c>
      <c r="C18" s="10">
        <f>'Fane 6. Ikke-påvirkelige omk.'!C14*(1+'Fane 12. Nøgletal'!C14)</f>
        <v>10386407.500561537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7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70" t="s">
        <v>162</v>
      </c>
      <c r="C24" s="10">
        <f>'Fane 7. Kontrol af ØR2020'!E37</f>
        <v>-31648.74495760235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70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17453048.270232212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AYtdFQbS/a0RVjYa0emn1zE0iMtbly6ebXZSvZ9DNFm+yKAvIZRO3ZGuAtQVJbUhaPF94kFD11aN9qtneiDmsA==" saltValue="8GkyRQjxY4nA5OvrztW6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135</v>
      </c>
      <c r="C8" s="7">
        <f>'Fane 2.2. Økonomisk ramme 2023'!C16</f>
        <v>7098289.5146282772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23424.355398273314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drift'!G50</f>
        <v>-68916.476741659295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3">
        <f>-'Fane 4.2. Gen. krav - anlæg'!G50</f>
        <v>-59843.433755300619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6992953.9595295899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omk.'!C14*(1+'Fane 12. Nøgletal'!C14)^2</f>
        <v>10420682.64531339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-31648.74495760235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17381987.859885376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9Ysfl5d7e7ksSNUt80wQK+k+bE+uKjOIILc2lzL73tMAqk0k1wAtifaajV55hr8odbvjHISBh7PohfrQ6flzw==" saltValue="Vp0ko6Q1IcEdfLIS28hm5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189</v>
      </c>
      <c r="C8" s="7">
        <f>'Fane 2.3. Økonomisk ramme 2024'!C15</f>
        <v>6992953.9595295899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23076.748066447646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drift'!G56</f>
        <v>-67761.023092608637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anlæg'!G56</f>
        <v>-59152.311513810062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6889117.3729896182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omk.'!C14*(1+'Fane 12. Nøgletal'!C14)^3</f>
        <v>10455070.898042925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-31648.74495760235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17312539.526074938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XmBBu9qiX6NiV/STnqJOihJLTmO3aiEiQWy+bzTBwnGSZHA8BKCWYN90D9EbMNcmBEZX34zZC6osyEkUb01RMw==" saltValue="s5J55WJI5+af1w7XpYhf/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7137017.3422401678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228746.06580000001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89862.313578090048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0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-71788.659252911297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-116241.46828418158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7267595.5940811653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11809139.4713754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5"/>
      <c r="F23" s="55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0</v>
      </c>
      <c r="F28" s="11" t="s">
        <v>3</v>
      </c>
      <c r="G28" s="1"/>
    </row>
    <row r="29" spans="1:7" x14ac:dyDescent="0.25">
      <c r="A29" s="1"/>
      <c r="B29" s="54" t="s">
        <v>247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105" t="s">
        <v>248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19076735.065456565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SIfI8+FvRExoSx5jx8zz0/kL/gCzOaGMDn6LZweqEpRG8f9c5gNGIbjiu8ys8NtwMkW6azMeNU+Ic+xJituBw==" saltValue="pF2/SUe0x+mTotfwfr9lE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3695576.0927041653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73911.521854083301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3667659.7108998774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73353.194217997545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3655050.2968138033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-24026.333982337914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72620.479256629318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3618540.5024472503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72370.810048945001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3589432.9626455647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71788.659252911297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3560559.5638940437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3781.8371137300005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71286.828020155473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3504581.6530784778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70091.633061569562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3445823.8370829644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68916.476741659295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3388051.1546304314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67761.023092608637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q8ECBXoSO87dhnzv0YYILpjGByhgQN/wD7CEFfisbthi5MCxR9gTCJ5B3/bKqenuz1+NuRpfJOeQTWkWb9OuUA==" saltValue="gd8Z1GD7eqCw8xWi4CK/g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3550524.232138922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32309.770512464191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3562895.7852891139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32422.351646130937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3590138.4346715491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-298698.54247941199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555433.23327124992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33467.796191531466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3877851.8793365499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106169.68409715361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36752.530378587144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3995425.7152583888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231536.76780276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116241.4682841816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4160871.8111572461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225912.56606025514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31278.420184970008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114886.89542556182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4090718.3049251796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60542.630912892659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4043475.2537365281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59843.433755300619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3996777.8049871661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59152.311513810062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x9yDMKUJ2+5V0vwI1/tQLoXyPrQ3QtWQj0OV6AybBjmHqTUNVmdDwkezKoTK3e5dHaMGps9eTsukmE9ItqmBBQ==" saltValue="uv/yWgq88uRBUdijXErSKQ==" spinCount="100000" sheet="1" objects="1" scenarios="1"/>
  <mergeCells count="37"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48:F48"/>
    <mergeCell ref="B49:F49"/>
    <mergeCell ref="B50:F50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1.162586935133603E-2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0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hzwemIR3NmQeF8NXWH7pqfz5piek8sFwkB8XmJYWKydDvjl5bW7vha14U++DcUkG8Db9BrjIYnDSnB3hRrjsAw==" saltValue="nyJ+ORqVfYA6CFm/fNFB2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2021-09-03T11:30:59Z</dcterms:modified>
</cp:coreProperties>
</file>