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lueKolding Vand AS (V03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G15" i="11" l="1"/>
  <c r="F15" i="11"/>
  <c r="E11" i="11"/>
  <c r="E12" i="11"/>
  <c r="C13" i="19" l="1"/>
  <c r="E14" i="27" l="1"/>
  <c r="E26" i="32" l="1"/>
  <c r="E13" i="11" l="1"/>
  <c r="E14" i="11"/>
  <c r="E10" i="11"/>
  <c r="E15" i="11" s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40" i="39"/>
  <c r="E41" i="39" s="1"/>
  <c r="C40" i="39"/>
  <c r="C41" i="39" s="1"/>
  <c r="E31" i="39"/>
  <c r="E32" i="39" s="1"/>
  <c r="C31" i="39"/>
  <c r="C32" i="39" s="1"/>
  <c r="E22" i="39"/>
  <c r="E23" i="39" s="1"/>
  <c r="C22" i="39"/>
  <c r="C23" i="39" s="1"/>
  <c r="E13" i="39"/>
  <c r="E14" i="39" s="1"/>
  <c r="C13" i="39"/>
  <c r="C14" i="39" s="1"/>
  <c r="C42" i="39" l="1"/>
  <c r="E16" i="23" s="1"/>
  <c r="E42" i="39"/>
  <c r="E17" i="23" s="1"/>
  <c r="C33" i="39"/>
  <c r="E16" i="22" s="1"/>
  <c r="E33" i="39"/>
  <c r="E17" i="22" s="1"/>
  <c r="E24" i="39"/>
  <c r="E18" i="15" s="1"/>
  <c r="C24" i="39"/>
  <c r="E17" i="15" s="1"/>
  <c r="E18" i="23" l="1"/>
  <c r="E15" i="39"/>
  <c r="E21" i="2" s="1"/>
  <c r="E18" i="22"/>
  <c r="C15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C10" i="37"/>
  <c r="C13" i="37" s="1"/>
  <c r="C14" i="37" s="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0" i="37" l="1"/>
  <c r="E13" i="37" s="1"/>
  <c r="E14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<sst xmlns="http://schemas.openxmlformats.org/spreadsheetml/2006/main" count="443" uniqueCount="166">
  <si>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</si>
  <si>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</si>
  <si>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</si>
  <si>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</si>
  <si>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</si>
  <si>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</si>
  <si>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</si>
  <si>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</si>
  <si>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</si>
  <si>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</si>
  <si>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</si>
  <si>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</si>
  <si>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</si>
  <si>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</si>
  <si>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</si>
  <si>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</si>
  <si>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</si>
  <si>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</si>
  <si>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</si>
  <si>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</si>
  <si>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</si>
  <si>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</si>
  <si>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</si>
  <si>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</si>
  <si>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</si>
  <si>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</si>
  <si>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</si>
  <si>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</si>
  <si>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</si>
  <si>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</si>
  <si>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</si>
  <si>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</si>
  <si>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</si>
  <si>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</si>
  <si>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</si>
  <si>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</si>
  <si>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</si>
  <si>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</si>
  <si>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</si>
  <si>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</si>
  <si>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</si>
  <si>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</si>
  <si>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</si>
  <si>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</si>
  <si>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</si>
  <si>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</si>
  <si>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</si>
  <si>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</si>
  <si>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</si>
  <si>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</si>
  <si>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</si>
  <si>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</si>
  <si>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</si>
  <si>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</si>
  <si>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</si>
  <si>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</si>
  <si>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</si>
  <si>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</si>
  <si>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</si>
  <si>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</si>
  <si>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</si>
  <si>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</si>
  <si>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</si>
  <si>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</si>
  <si>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</si>
  <si>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</si>
  <si>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</si>
  <si>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</si>
  <si>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</si>
  <si>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</si>
  <si>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</si>
  <si>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</si>
  <si>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</si>
  <si>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</si>
  <si>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</si>
  <si>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</si>
  <si>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</si>
  <si>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</si>
  <si>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</si>
  <si>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</si>
  <si>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</si>
  <si>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</si>
  <si>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</si>
  <si>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</si>
  <si>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</si>
  <si>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</si>
  <si>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</si>
  <si>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</si>
  <si>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</si>
  <si>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</si>
  <si>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</si>
  <si>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</si>
  <si>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</si>
  <si>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</si>
  <si>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</si>
  <si>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</si>
  <si>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</si>
  <si>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</si>
  <si>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</si>
  <si>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</si>
  <si>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</si>
  <si>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</si>
  <si>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</si>
  <si>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</si>
  <si>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</si>
  <si>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</si>
  <si>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</si>
  <si>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</si>
  <si>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</si>
  <si>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</si>
  <si>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</si>
  <si>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</si>
  <si>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</si>
  <si>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</si>
  <si>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</si>
  <si>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</si>
  <si>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</si>
  <si>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</si>
  <si>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</si>
  <si>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</si>
  <si>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</si>
  <si>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</si>
  <si>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</si>
  <si>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</si>
  <si>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</si>
  <si>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</si>
  <si>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</si>
  <si>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</si>
  <si>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</si>
  <si>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</si>
  <si>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</si>
  <si>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</si>
  <si>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</si>
  <si>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</si>
  <si>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</si>
  <si>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</si>
  <si>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</si>
  <si>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</si>
  <si>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</si>
  <si>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</si>
  <si>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</si>
  <si>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</si>
  <si>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</si>
  <si>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</si>
  <si>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</si>
  <si>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</si>
  <si>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</si>
  <si>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</si>
  <si>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</si>
  <si>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</si>
  <si>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</si>
  <si>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</si>
  <si>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</si>
  <si>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</si>
  <si>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</si>
  <si>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</si>
  <si>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engangstillæg</t>
  </si>
  <si>
    <t>Afregningsmålere, elektroniske, maksimal gennemstrømning &gt; 4 m3/t ≤ 15 m3/t</t>
  </si>
  <si>
    <t>10</t>
  </si>
  <si>
    <t>Laboratorium (bygning, inkl. inventar+udstyr), Kontruktioner</t>
  </si>
  <si>
    <t>75</t>
  </si>
  <si>
    <t>Beluftningsanlæg, iltningstrappe, Kontruktioner</t>
  </si>
  <si>
    <t>50</t>
  </si>
  <si>
    <t>SRO anlæg</t>
  </si>
  <si>
    <t>Boring (inkl. etablering, forerør, filter og prøvepumpning)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</si>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</sst>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4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5">
      <c r="A8" s="1"/>
      <c r="B8" s="1"/>
      <c r="C8" s="4"/>
      <c r="D8" s="62" t="s">
        <v>131</v>
      </c>
      <c r="E8" s="62"/>
      <c r="F8" s="62"/>
      <c r="G8" s="62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1" t="s">
        <v>5</v>
      </c>
      <c r="E11" s="61"/>
      <c r="F11" s="61"/>
      <c r="G11" s="61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7" t="s">
        <v>83</v>
      </c>
      <c r="E13" s="58"/>
      <c r="F13" s="58"/>
      <c r="G13" s="59"/>
      <c r="H13" s="1"/>
      <c r="I13" s="1"/>
    </row>
    <row r="14" spans="1:9" x14ac:dyDescent="0.45">
      <c r="A14" s="1"/>
      <c r="B14" s="1"/>
      <c r="C14" s="6" t="s">
        <v>15</v>
      </c>
      <c r="D14" s="57" t="s">
        <v>132</v>
      </c>
      <c r="E14" s="58"/>
      <c r="F14" s="58"/>
      <c r="G14" s="59"/>
      <c r="H14" s="1"/>
      <c r="I14" s="1"/>
    </row>
    <row r="15" spans="1:9" x14ac:dyDescent="0.45">
      <c r="A15" s="1"/>
      <c r="B15" s="1"/>
      <c r="C15" s="6" t="s">
        <v>37</v>
      </c>
      <c r="D15" s="57" t="s">
        <v>47</v>
      </c>
      <c r="E15" s="58"/>
      <c r="F15" s="58"/>
      <c r="G15" s="59"/>
      <c r="H15" s="1"/>
      <c r="I15" s="1"/>
    </row>
    <row r="16" spans="1:9" x14ac:dyDescent="0.45">
      <c r="A16" s="1"/>
      <c r="B16" s="1"/>
      <c r="C16" s="6" t="s">
        <v>38</v>
      </c>
      <c r="D16" s="57" t="s">
        <v>84</v>
      </c>
      <c r="E16" s="58"/>
      <c r="F16" s="58"/>
      <c r="G16" s="59"/>
      <c r="H16" s="1"/>
      <c r="I16" s="1"/>
    </row>
    <row r="17" spans="1:9" x14ac:dyDescent="0.45">
      <c r="A17" s="1"/>
      <c r="B17" s="1"/>
      <c r="C17" s="6" t="s">
        <v>79</v>
      </c>
      <c r="D17" s="57" t="s">
        <v>85</v>
      </c>
      <c r="E17" s="58"/>
      <c r="F17" s="58"/>
      <c r="G17" s="59"/>
      <c r="H17" s="1"/>
      <c r="I17" s="1"/>
    </row>
    <row r="18" spans="1:9" x14ac:dyDescent="0.45">
      <c r="A18" s="1"/>
      <c r="B18" s="1"/>
      <c r="C18" s="6" t="s">
        <v>7</v>
      </c>
      <c r="D18" s="54" t="s">
        <v>12</v>
      </c>
      <c r="E18" s="55"/>
      <c r="F18" s="55"/>
      <c r="G18" s="56"/>
      <c r="H18" s="1"/>
      <c r="I18" s="1"/>
    </row>
    <row r="19" spans="1:9" x14ac:dyDescent="0.45">
      <c r="A19" s="1"/>
      <c r="B19" s="1"/>
      <c r="C19" s="6" t="s">
        <v>8</v>
      </c>
      <c r="D19" s="48" t="s">
        <v>86</v>
      </c>
      <c r="E19" s="49"/>
      <c r="F19" s="49"/>
      <c r="G19" s="50"/>
      <c r="H19" s="1"/>
      <c r="I19" s="1"/>
    </row>
    <row r="20" spans="1:9" x14ac:dyDescent="0.45">
      <c r="A20" s="1"/>
      <c r="B20" s="1"/>
      <c r="C20" s="6" t="s">
        <v>74</v>
      </c>
      <c r="D20" s="48" t="s">
        <v>39</v>
      </c>
      <c r="E20" s="49"/>
      <c r="F20" s="49"/>
      <c r="G20" s="50"/>
      <c r="H20" s="1"/>
      <c r="I20" s="1"/>
    </row>
    <row r="21" spans="1:9" x14ac:dyDescent="0.45">
      <c r="A21" s="1"/>
      <c r="B21" s="1"/>
      <c r="C21" s="6" t="s">
        <v>121</v>
      </c>
      <c r="D21" s="48" t="s">
        <v>51</v>
      </c>
      <c r="E21" s="49"/>
      <c r="F21" s="49"/>
      <c r="G21" s="50"/>
      <c r="H21" s="1"/>
      <c r="I21" s="1"/>
    </row>
    <row r="22" spans="1:9" x14ac:dyDescent="0.45">
      <c r="A22" s="1"/>
      <c r="B22" s="1"/>
      <c r="C22" s="6" t="s">
        <v>122</v>
      </c>
      <c r="D22" s="48" t="s">
        <v>52</v>
      </c>
      <c r="E22" s="49"/>
      <c r="F22" s="49"/>
      <c r="G22" s="50"/>
      <c r="H22" s="1"/>
      <c r="I22" s="1"/>
    </row>
    <row r="23" spans="1:9" x14ac:dyDescent="0.45">
      <c r="A23" s="1"/>
      <c r="B23" s="1"/>
      <c r="C23" s="6" t="s">
        <v>123</v>
      </c>
      <c r="D23" s="48" t="s">
        <v>87</v>
      </c>
      <c r="E23" s="49"/>
      <c r="F23" s="49"/>
      <c r="G23" s="50"/>
      <c r="H23" s="1"/>
      <c r="I23" s="1"/>
    </row>
    <row r="24" spans="1:9" x14ac:dyDescent="0.45">
      <c r="A24" s="1"/>
      <c r="B24" s="1"/>
      <c r="C24" s="6" t="s">
        <v>9</v>
      </c>
      <c r="D24" s="48" t="s">
        <v>40</v>
      </c>
      <c r="E24" s="49"/>
      <c r="F24" s="49"/>
      <c r="G24" s="50"/>
      <c r="H24" s="1"/>
      <c r="I24" s="1"/>
    </row>
    <row r="25" spans="1:9" x14ac:dyDescent="0.45">
      <c r="A25" s="1"/>
      <c r="B25" s="1"/>
      <c r="C25" s="6" t="s">
        <v>61</v>
      </c>
      <c r="D25" s="51" t="s">
        <v>75</v>
      </c>
      <c r="E25" s="52"/>
      <c r="F25" s="52"/>
      <c r="G25" s="53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140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6" t="s">
        <v>48</v>
      </c>
      <c r="C8" s="22"/>
      <c r="D8" s="22"/>
      <c r="E8" s="22"/>
      <c r="F8" s="47"/>
      <c r="G8" s="1"/>
    </row>
    <row r="9" spans="1:7" ht="17.25" customHeight="1" x14ac:dyDescent="0.45">
      <c r="A9" s="1"/>
      <c r="B9" s="35" t="s">
        <v>16</v>
      </c>
      <c r="C9" s="35" t="s">
        <v>11</v>
      </c>
      <c r="D9" s="36"/>
      <c r="E9" s="35" t="s">
        <v>31</v>
      </c>
      <c r="F9" s="45"/>
      <c r="G9" s="1"/>
    </row>
    <row r="10" spans="1:7" x14ac:dyDescent="0.45">
      <c r="A10" s="1"/>
      <c r="B10" s="20" t="s">
        <v>119</v>
      </c>
      <c r="C10" s="19">
        <f>'Fane 6. Anlægsprojekter'!F15</f>
        <v>13999</v>
      </c>
      <c r="D10" s="12" t="s">
        <v>3</v>
      </c>
      <c r="E10" s="8">
        <f>SUM('Fane 6. Anlægsprojekter'!E15,'Fane 6. Anlægsprojekter'!G15)</f>
        <v>792587.08066666673</v>
      </c>
      <c r="F10" s="12" t="s">
        <v>3</v>
      </c>
      <c r="G10" s="1"/>
    </row>
    <row r="11" spans="1:7" x14ac:dyDescent="0.45">
      <c r="A11" s="1"/>
      <c r="B11" s="34"/>
      <c r="C11" s="19"/>
      <c r="D11" s="12" t="s">
        <v>3</v>
      </c>
      <c r="E11" s="8"/>
      <c r="F11" s="12" t="s">
        <v>3</v>
      </c>
      <c r="G11" s="1"/>
    </row>
    <row r="12" spans="1:7" x14ac:dyDescent="0.45">
      <c r="A12" s="1"/>
      <c r="B12" s="20"/>
      <c r="C12" s="19"/>
      <c r="D12" s="12" t="s">
        <v>3</v>
      </c>
      <c r="E12" s="8"/>
      <c r="F12" s="12" t="s">
        <v>3</v>
      </c>
      <c r="G12" s="1"/>
    </row>
    <row r="13" spans="1:7" x14ac:dyDescent="0.45">
      <c r="A13" s="1"/>
      <c r="B13" s="46" t="s">
        <v>42</v>
      </c>
      <c r="C13" s="10">
        <f>SUM(C10:C12)</f>
        <v>13999</v>
      </c>
      <c r="D13" s="11" t="s">
        <v>3</v>
      </c>
      <c r="E13" s="10">
        <f>SUM(E10:E12)</f>
        <v>792587.08066666673</v>
      </c>
      <c r="F13" s="11" t="s">
        <v>3</v>
      </c>
      <c r="G13" s="1"/>
    </row>
    <row r="14" spans="1:7" x14ac:dyDescent="0.45">
      <c r="A14" s="1"/>
      <c r="B14" s="46" t="s">
        <v>103</v>
      </c>
      <c r="C14" s="10">
        <f>C13*(1+'Fane 10. Nøgletal'!C13)</f>
        <v>14169.7878</v>
      </c>
      <c r="D14" s="11" t="s">
        <v>3</v>
      </c>
      <c r="E14" s="10">
        <f>E13*(1+'Fane 10. Nøgletal'!C13)</f>
        <v>802256.64305080008</v>
      </c>
      <c r="F14" s="11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141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65</v>
      </c>
      <c r="C8" s="82"/>
      <c r="D8" s="82"/>
      <c r="E8" s="82"/>
      <c r="F8" s="83"/>
      <c r="G8" s="1"/>
    </row>
    <row r="9" spans="1:7" x14ac:dyDescent="0.45">
      <c r="A9" s="1"/>
      <c r="B9" s="35" t="s">
        <v>16</v>
      </c>
      <c r="C9" s="35" t="s">
        <v>11</v>
      </c>
      <c r="D9" s="36"/>
      <c r="E9" s="35" t="s">
        <v>31</v>
      </c>
      <c r="F9" s="45"/>
      <c r="G9" s="1"/>
    </row>
    <row r="10" spans="1:7" x14ac:dyDescent="0.45">
      <c r="A10" s="1"/>
      <c r="B10" s="20" t="s">
        <v>156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34"/>
      <c r="C11" s="19"/>
      <c r="D11" s="12" t="s">
        <v>3</v>
      </c>
      <c r="E11" s="8"/>
      <c r="F11" s="12" t="s">
        <v>3</v>
      </c>
      <c r="G11" s="1"/>
    </row>
    <row r="12" spans="1:7" x14ac:dyDescent="0.45">
      <c r="A12" s="1"/>
      <c r="B12" s="20"/>
      <c r="C12" s="19"/>
      <c r="D12" s="12" t="s">
        <v>3</v>
      </c>
      <c r="E12" s="8"/>
      <c r="F12" s="12" t="s">
        <v>3</v>
      </c>
      <c r="G12" s="1"/>
    </row>
    <row r="13" spans="1:7" x14ac:dyDescent="0.45">
      <c r="A13" s="1"/>
      <c r="B13" s="46" t="s">
        <v>104</v>
      </c>
      <c r="C13" s="10">
        <f>SUM(C10:C12)</f>
        <v>0</v>
      </c>
      <c r="D13" s="11" t="s">
        <v>3</v>
      </c>
      <c r="E13" s="10">
        <f>SUM(E10:E12)</f>
        <v>0</v>
      </c>
      <c r="F13" s="11" t="s">
        <v>3</v>
      </c>
      <c r="G13" s="1"/>
    </row>
    <row r="14" spans="1:7" x14ac:dyDescent="0.45">
      <c r="A14" s="1"/>
      <c r="B14" s="23" t="s">
        <v>72</v>
      </c>
      <c r="C14" s="24">
        <f>-C13*'Fane 10. Nøgletal'!C18</f>
        <v>0</v>
      </c>
      <c r="D14" s="25" t="s">
        <v>3</v>
      </c>
      <c r="E14" s="24">
        <f>-E13*'Fane 10. Nøgletal'!C18</f>
        <v>0</v>
      </c>
      <c r="F14" s="25" t="s">
        <v>3</v>
      </c>
      <c r="G14" s="1"/>
    </row>
    <row r="15" spans="1:7" x14ac:dyDescent="0.45">
      <c r="A15" s="1"/>
      <c r="B15" s="46" t="s">
        <v>68</v>
      </c>
      <c r="C15" s="10">
        <f>SUM(C13:C14)*(1+'Fane 10. Nøgletal'!C13)^2</f>
        <v>0</v>
      </c>
      <c r="D15" s="11" t="s">
        <v>3</v>
      </c>
      <c r="E15" s="10">
        <f>SUM(E13:E14)*(1+'Fane 10. Nøgletal'!C13)^2</f>
        <v>0</v>
      </c>
      <c r="F15" s="11" t="s">
        <v>3</v>
      </c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81" t="s">
        <v>66</v>
      </c>
      <c r="C17" s="82"/>
      <c r="D17" s="82"/>
      <c r="E17" s="82"/>
      <c r="F17" s="83"/>
      <c r="G17" s="1"/>
    </row>
    <row r="18" spans="1:7" x14ac:dyDescent="0.45">
      <c r="A18" s="1"/>
      <c r="B18" s="35" t="s">
        <v>16</v>
      </c>
      <c r="C18" s="35" t="s">
        <v>11</v>
      </c>
      <c r="D18" s="36"/>
      <c r="E18" s="35" t="s">
        <v>31</v>
      </c>
      <c r="F18" s="45"/>
      <c r="G18" s="1"/>
    </row>
    <row r="19" spans="1:7" x14ac:dyDescent="0.45">
      <c r="A19" s="1"/>
      <c r="B19" s="20" t="s">
        <v>156</v>
      </c>
      <c r="C19" s="19">
        <v>0</v>
      </c>
      <c r="D19" s="12" t="s">
        <v>3</v>
      </c>
      <c r="E19" s="8">
        <v>0</v>
      </c>
      <c r="F19" s="12" t="s">
        <v>3</v>
      </c>
      <c r="G19" s="1"/>
    </row>
    <row r="20" spans="1:7" x14ac:dyDescent="0.45">
      <c r="A20" s="1"/>
      <c r="B20" s="34"/>
      <c r="C20" s="19"/>
      <c r="D20" s="12" t="s">
        <v>3</v>
      </c>
      <c r="E20" s="8"/>
      <c r="F20" s="12" t="s">
        <v>3</v>
      </c>
      <c r="G20" s="1"/>
    </row>
    <row r="21" spans="1:7" x14ac:dyDescent="0.45">
      <c r="A21" s="1"/>
      <c r="B21" s="20"/>
      <c r="C21" s="19"/>
      <c r="D21" s="12" t="s">
        <v>3</v>
      </c>
      <c r="E21" s="8"/>
      <c r="F21" s="12" t="s">
        <v>3</v>
      </c>
      <c r="G21" s="1"/>
    </row>
    <row r="22" spans="1:7" x14ac:dyDescent="0.45">
      <c r="A22" s="1"/>
      <c r="B22" s="46" t="s">
        <v>104</v>
      </c>
      <c r="C22" s="10">
        <f>SUM(C19:C21)</f>
        <v>0</v>
      </c>
      <c r="D22" s="11" t="s">
        <v>3</v>
      </c>
      <c r="E22" s="10">
        <f>SUM(E19:E21)</f>
        <v>0</v>
      </c>
      <c r="F22" s="11" t="s">
        <v>3</v>
      </c>
      <c r="G22" s="1"/>
    </row>
    <row r="23" spans="1:7" x14ac:dyDescent="0.45">
      <c r="A23" s="1"/>
      <c r="B23" s="23" t="s">
        <v>72</v>
      </c>
      <c r="C23" s="24">
        <f>-C22*'Fane 10. Nøgletal'!C18</f>
        <v>0</v>
      </c>
      <c r="D23" s="25" t="s">
        <v>3</v>
      </c>
      <c r="E23" s="24">
        <f>-E22*'Fane 10. Nøgletal'!C18</f>
        <v>0</v>
      </c>
      <c r="F23" s="25" t="s">
        <v>3</v>
      </c>
      <c r="G23" s="1"/>
    </row>
    <row r="24" spans="1:7" x14ac:dyDescent="0.45">
      <c r="A24" s="1"/>
      <c r="B24" s="46" t="s">
        <v>105</v>
      </c>
      <c r="C24" s="10">
        <f>SUM(C22:C23)*(1+'Fane 10. Nøgletal'!C13)^3</f>
        <v>0</v>
      </c>
      <c r="D24" s="11" t="s">
        <v>3</v>
      </c>
      <c r="E24" s="10">
        <f>SUM(E22:E23)*(1+'Fane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1" t="s">
        <v>67</v>
      </c>
      <c r="C26" s="82"/>
      <c r="D26" s="82"/>
      <c r="E26" s="82"/>
      <c r="F26" s="83"/>
      <c r="G26" s="1"/>
    </row>
    <row r="27" spans="1:7" x14ac:dyDescent="0.45">
      <c r="A27" s="1"/>
      <c r="B27" s="35" t="s">
        <v>16</v>
      </c>
      <c r="C27" s="35" t="s">
        <v>11</v>
      </c>
      <c r="D27" s="36"/>
      <c r="E27" s="35" t="s">
        <v>31</v>
      </c>
      <c r="F27" s="45"/>
      <c r="G27" s="1"/>
    </row>
    <row r="28" spans="1:7" x14ac:dyDescent="0.45">
      <c r="A28" s="1"/>
      <c r="B28" s="20" t="s">
        <v>156</v>
      </c>
      <c r="C28" s="19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34"/>
      <c r="C29" s="19"/>
      <c r="D29" s="12" t="s">
        <v>3</v>
      </c>
      <c r="E29" s="8"/>
      <c r="F29" s="12" t="s">
        <v>3</v>
      </c>
      <c r="G29" s="1"/>
    </row>
    <row r="30" spans="1:7" x14ac:dyDescent="0.45">
      <c r="A30" s="1"/>
      <c r="B30" s="20"/>
      <c r="C30" s="19"/>
      <c r="D30" s="12" t="s">
        <v>3</v>
      </c>
      <c r="E30" s="8"/>
      <c r="F30" s="12" t="s">
        <v>3</v>
      </c>
      <c r="G30" s="1"/>
    </row>
    <row r="31" spans="1:7" x14ac:dyDescent="0.45">
      <c r="A31" s="1"/>
      <c r="B31" s="46" t="s">
        <v>104</v>
      </c>
      <c r="C31" s="10">
        <f>SUM(C28:C30)</f>
        <v>0</v>
      </c>
      <c r="D31" s="11" t="s">
        <v>3</v>
      </c>
      <c r="E31" s="10">
        <f>SUM(E28:E30)</f>
        <v>0</v>
      </c>
      <c r="F31" s="11" t="s">
        <v>3</v>
      </c>
      <c r="G31" s="1"/>
    </row>
    <row r="32" spans="1:7" x14ac:dyDescent="0.45">
      <c r="A32" s="1"/>
      <c r="B32" s="23" t="s">
        <v>72</v>
      </c>
      <c r="C32" s="24">
        <f>-C31*'Fane 10. Nøgletal'!C18</f>
        <v>0</v>
      </c>
      <c r="D32" s="25" t="s">
        <v>3</v>
      </c>
      <c r="E32" s="24">
        <f>-E31*'Fane 10. Nøgletal'!C18</f>
        <v>0</v>
      </c>
      <c r="F32" s="25" t="s">
        <v>3</v>
      </c>
      <c r="G32" s="1"/>
    </row>
    <row r="33" spans="1:7" x14ac:dyDescent="0.45">
      <c r="A33" s="1"/>
      <c r="B33" s="46" t="s">
        <v>112</v>
      </c>
      <c r="C33" s="10">
        <f>SUM(C31:C32)*(1+'Fane 10. Nøgletal'!C13)^4</f>
        <v>0</v>
      </c>
      <c r="D33" s="11" t="s">
        <v>3</v>
      </c>
      <c r="E33" s="10">
        <f>SUM(E31:E32)*(1+'Fane 10. Nøgletal'!C13)^4</f>
        <v>0</v>
      </c>
      <c r="F33" s="11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81" t="s">
        <v>114</v>
      </c>
      <c r="C35" s="82"/>
      <c r="D35" s="82"/>
      <c r="E35" s="82"/>
      <c r="F35" s="83"/>
      <c r="G35" s="1"/>
    </row>
    <row r="36" spans="1:7" x14ac:dyDescent="0.45">
      <c r="A36" s="1"/>
      <c r="B36" s="35" t="s">
        <v>16</v>
      </c>
      <c r="C36" s="35" t="s">
        <v>11</v>
      </c>
      <c r="D36" s="36"/>
      <c r="E36" s="35" t="s">
        <v>31</v>
      </c>
      <c r="F36" s="45"/>
      <c r="G36" s="1"/>
    </row>
    <row r="37" spans="1:7" x14ac:dyDescent="0.45">
      <c r="A37" s="1"/>
      <c r="B37" s="20" t="s">
        <v>156</v>
      </c>
      <c r="C37" s="19">
        <v>0</v>
      </c>
      <c r="D37" s="12" t="s">
        <v>3</v>
      </c>
      <c r="E37" s="8">
        <v>0</v>
      </c>
      <c r="F37" s="12" t="s">
        <v>3</v>
      </c>
      <c r="G37" s="1"/>
    </row>
    <row r="38" spans="1:7" x14ac:dyDescent="0.45">
      <c r="A38" s="1"/>
      <c r="B38" s="34"/>
      <c r="C38" s="19"/>
      <c r="D38" s="12" t="s">
        <v>3</v>
      </c>
      <c r="E38" s="8"/>
      <c r="F38" s="12" t="s">
        <v>3</v>
      </c>
      <c r="G38" s="1"/>
    </row>
    <row r="39" spans="1:7" x14ac:dyDescent="0.45">
      <c r="A39" s="1"/>
      <c r="B39" s="20"/>
      <c r="C39" s="19"/>
      <c r="D39" s="12" t="s">
        <v>3</v>
      </c>
      <c r="E39" s="8"/>
      <c r="F39" s="12" t="s">
        <v>3</v>
      </c>
      <c r="G39" s="1"/>
    </row>
    <row r="40" spans="1:7" x14ac:dyDescent="0.45">
      <c r="A40" s="1"/>
      <c r="B40" s="46" t="s">
        <v>104</v>
      </c>
      <c r="C40" s="10">
        <f>SUM(C37:C39)</f>
        <v>0</v>
      </c>
      <c r="D40" s="11" t="s">
        <v>3</v>
      </c>
      <c r="E40" s="10">
        <f>SUM(E37:E39)</f>
        <v>0</v>
      </c>
      <c r="F40" s="11" t="s">
        <v>3</v>
      </c>
      <c r="G40" s="1"/>
    </row>
    <row r="41" spans="1:7" x14ac:dyDescent="0.45">
      <c r="A41" s="1"/>
      <c r="B41" s="23" t="s">
        <v>72</v>
      </c>
      <c r="C41" s="24">
        <f>-C40*'Fane 10. Nøgletal'!C18</f>
        <v>0</v>
      </c>
      <c r="D41" s="25" t="s">
        <v>3</v>
      </c>
      <c r="E41" s="24">
        <f>-E40*'Fane 10. Nøgletal'!C18</f>
        <v>0</v>
      </c>
      <c r="F41" s="25" t="s">
        <v>3</v>
      </c>
      <c r="G41" s="1"/>
    </row>
    <row r="42" spans="1:7" x14ac:dyDescent="0.45">
      <c r="A42" s="1"/>
      <c r="B42" s="46" t="s">
        <v>113</v>
      </c>
      <c r="C42" s="10">
        <f>SUM(C40:C41)*(1+'Fane 10. Nøgletal'!C13)^5</f>
        <v>0</v>
      </c>
      <c r="D42" s="11" t="s">
        <v>3</v>
      </c>
      <c r="E42" s="10">
        <f>SUM(E40:E41)*(1+'Fane 10. Nøgletal'!C13)^5</f>
        <v>0</v>
      </c>
      <c r="F42" s="11" t="s">
        <v>3</v>
      </c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7:F17"/>
    <mergeCell ref="B26:F26"/>
    <mergeCell ref="B35:F3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142</v>
      </c>
      <c r="C3" s="65"/>
      <c r="D3" s="65"/>
      <c r="E3" s="65"/>
      <c r="F3" s="65"/>
      <c r="G3" s="1"/>
    </row>
    <row r="4" spans="1:7" ht="25.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106</v>
      </c>
      <c r="C8" s="82"/>
      <c r="D8" s="82"/>
      <c r="E8" s="82"/>
      <c r="F8" s="83"/>
      <c r="G8" s="1"/>
    </row>
    <row r="9" spans="1:7" ht="15" customHeight="1" x14ac:dyDescent="0.45">
      <c r="A9" s="1"/>
      <c r="B9" s="44" t="s">
        <v>115</v>
      </c>
      <c r="C9" s="91" t="s">
        <v>11</v>
      </c>
      <c r="D9" s="92"/>
      <c r="E9" s="91" t="s">
        <v>31</v>
      </c>
      <c r="F9" s="92"/>
      <c r="G9" s="1"/>
    </row>
    <row r="10" spans="1:7" x14ac:dyDescent="0.45">
      <c r="A10" s="1"/>
      <c r="B10" s="20" t="s">
        <v>151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143</v>
      </c>
      <c r="C3" s="65"/>
      <c r="D3" s="65"/>
      <c r="E3" s="65"/>
      <c r="F3" s="65"/>
      <c r="G3" s="1"/>
    </row>
    <row r="4" spans="1:7" ht="25.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59</v>
      </c>
      <c r="C8" s="82"/>
      <c r="D8" s="82"/>
      <c r="E8" s="82"/>
      <c r="F8" s="83"/>
      <c r="G8" s="1"/>
    </row>
    <row r="9" spans="1:7" ht="15" customHeight="1" x14ac:dyDescent="0.45">
      <c r="A9" s="1"/>
      <c r="B9" s="44" t="s">
        <v>17</v>
      </c>
      <c r="C9" s="44" t="s">
        <v>11</v>
      </c>
      <c r="D9" s="45"/>
      <c r="E9" s="44" t="s">
        <v>31</v>
      </c>
      <c r="F9" s="45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6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6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1" t="s">
        <v>58</v>
      </c>
      <c r="C14" s="82"/>
      <c r="D14" s="82"/>
      <c r="E14" s="82"/>
      <c r="F14" s="83"/>
      <c r="G14" s="1"/>
    </row>
    <row r="15" spans="1:7" x14ac:dyDescent="0.45">
      <c r="A15" s="1"/>
      <c r="B15" s="44" t="s">
        <v>17</v>
      </c>
      <c r="C15" s="44" t="s">
        <v>11</v>
      </c>
      <c r="D15" s="45"/>
      <c r="E15" s="44" t="s">
        <v>31</v>
      </c>
      <c r="F15" s="45"/>
      <c r="G15" s="1"/>
    </row>
    <row r="16" spans="1:7" x14ac:dyDescent="0.45">
      <c r="A16" s="1"/>
      <c r="B16" s="20" t="s">
        <v>152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6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6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1" t="s">
        <v>60</v>
      </c>
      <c r="C20" s="82"/>
      <c r="D20" s="82"/>
      <c r="E20" s="82"/>
      <c r="F20" s="83"/>
      <c r="G20" s="1"/>
    </row>
    <row r="21" spans="1:7" x14ac:dyDescent="0.45">
      <c r="A21" s="1"/>
      <c r="B21" s="44" t="s">
        <v>17</v>
      </c>
      <c r="C21" s="44" t="s">
        <v>11</v>
      </c>
      <c r="D21" s="45"/>
      <c r="E21" s="44" t="s">
        <v>31</v>
      </c>
      <c r="F21" s="45"/>
      <c r="G21" s="1"/>
    </row>
    <row r="22" spans="1:7" x14ac:dyDescent="0.45">
      <c r="A22" s="1"/>
      <c r="B22" s="20" t="s">
        <v>152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6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6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1" t="s">
        <v>109</v>
      </c>
      <c r="C26" s="82"/>
      <c r="D26" s="82"/>
      <c r="E26" s="82"/>
      <c r="F26" s="83"/>
      <c r="G26" s="1"/>
    </row>
    <row r="27" spans="1:7" x14ac:dyDescent="0.45">
      <c r="A27" s="1"/>
      <c r="B27" s="44" t="s">
        <v>17</v>
      </c>
      <c r="C27" s="44" t="s">
        <v>11</v>
      </c>
      <c r="D27" s="45"/>
      <c r="E27" s="44" t="s">
        <v>31</v>
      </c>
      <c r="F27" s="45"/>
      <c r="G27" s="1"/>
    </row>
    <row r="28" spans="1:7" x14ac:dyDescent="0.45">
      <c r="A28" s="1"/>
      <c r="B28" s="20" t="s">
        <v>152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6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6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5" t="s">
        <v>144</v>
      </c>
      <c r="C3" s="65"/>
      <c r="D3" s="1"/>
    </row>
    <row r="4" spans="1:4" ht="25.5" customHeight="1" x14ac:dyDescent="0.45">
      <c r="A4" s="1"/>
      <c r="B4" s="65"/>
      <c r="C4" s="65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6" t="s">
        <v>14</v>
      </c>
      <c r="C8" s="47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6"/>
      <c r="C14" s="47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6" t="s">
        <v>72</v>
      </c>
      <c r="C17" s="47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3"/>
      <c r="C19" s="94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88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13</v>
      </c>
      <c r="C8" s="39"/>
      <c r="D8" s="39"/>
      <c r="E8" s="39"/>
      <c r="F8" s="39"/>
      <c r="G8" s="1"/>
    </row>
    <row r="9" spans="1:7" x14ac:dyDescent="0.45">
      <c r="A9" s="1"/>
      <c r="B9" s="42" t="s">
        <v>26</v>
      </c>
      <c r="C9" s="42"/>
      <c r="D9" s="42"/>
      <c r="E9" s="7">
        <f>'Fane 3. Omkostninger i ØR2020'!E16</f>
        <v>2369950.0046259039</v>
      </c>
      <c r="F9" s="42" t="s">
        <v>3</v>
      </c>
      <c r="G9" s="1"/>
    </row>
    <row r="10" spans="1:7" ht="17.100000000000001" customHeight="1" x14ac:dyDescent="0.45">
      <c r="A10" s="1"/>
      <c r="B10" s="42" t="s">
        <v>120</v>
      </c>
      <c r="C10" s="42"/>
      <c r="D10" s="42"/>
      <c r="E10" s="7">
        <v>10954.112248184187</v>
      </c>
      <c r="F10" s="42" t="s">
        <v>3</v>
      </c>
      <c r="G10" s="1"/>
    </row>
    <row r="11" spans="1:7" ht="17.100000000000001" customHeight="1" x14ac:dyDescent="0.45">
      <c r="A11" s="1"/>
      <c r="B11" s="27" t="s">
        <v>80</v>
      </c>
      <c r="C11" s="42"/>
      <c r="D11" s="42"/>
      <c r="E11" s="7">
        <f>'Fane 7.1. Varige tillæg'!C14+'Fane 7.1. Varige tillæg'!E14</f>
        <v>816426.43085080013</v>
      </c>
      <c r="F11" s="42" t="s">
        <v>3</v>
      </c>
      <c r="G11" s="1"/>
    </row>
    <row r="12" spans="1:7" ht="17.100000000000001" customHeight="1" x14ac:dyDescent="0.45">
      <c r="A12" s="1"/>
      <c r="B12" s="27" t="s">
        <v>82</v>
      </c>
      <c r="C12" s="42"/>
      <c r="D12" s="42"/>
      <c r="E12" s="8">
        <f>-('Fane 9. Bortfald'!C12+'Fane 9. Bortfald'!E12)</f>
        <v>0</v>
      </c>
      <c r="F12" s="42" t="s">
        <v>3</v>
      </c>
      <c r="G12" s="1"/>
    </row>
    <row r="13" spans="1:7" ht="17.100000000000001" customHeight="1" x14ac:dyDescent="0.45">
      <c r="A13" s="1"/>
      <c r="B13" s="27" t="s">
        <v>89</v>
      </c>
      <c r="C13" s="42"/>
      <c r="D13" s="42"/>
      <c r="E13" s="8">
        <f>'Fane 8. Tilknyttet virksomhed'!C12+'Fane 8. Tilknyttet virksomhed'!E12</f>
        <v>0</v>
      </c>
      <c r="F13" s="42" t="s">
        <v>3</v>
      </c>
      <c r="G13" s="1"/>
    </row>
    <row r="14" spans="1:7" ht="17.100000000000001" customHeight="1" x14ac:dyDescent="0.45">
      <c r="A14" s="1"/>
      <c r="B14" s="27" t="s">
        <v>18</v>
      </c>
      <c r="C14" s="42"/>
      <c r="D14" s="42"/>
      <c r="E14" s="8">
        <f>SUM(E9:E13)*'Fane 10. Nøgletal'!C13</f>
        <v>39007.432682243641</v>
      </c>
      <c r="F14" s="42" t="s">
        <v>3</v>
      </c>
      <c r="G14" s="1"/>
    </row>
    <row r="15" spans="1:7" ht="17.100000000000001" customHeight="1" x14ac:dyDescent="0.45">
      <c r="A15" s="1"/>
      <c r="B15" s="27" t="s">
        <v>72</v>
      </c>
      <c r="C15" s="42"/>
      <c r="D15" s="42"/>
      <c r="E15" s="8">
        <f>-SUM(E9:E14)*'Fane 10. Nøgletal'!C18</f>
        <v>-55017.745666921248</v>
      </c>
      <c r="F15" s="42" t="s">
        <v>3</v>
      </c>
      <c r="G15" s="1"/>
    </row>
    <row r="16" spans="1:7" ht="15" customHeight="1" x14ac:dyDescent="0.45">
      <c r="A16" s="1"/>
      <c r="B16" s="43" t="s">
        <v>20</v>
      </c>
      <c r="C16" s="38"/>
      <c r="D16" s="38"/>
      <c r="E16" s="9">
        <f>SUM(E9:E15)</f>
        <v>3181320.2347402107</v>
      </c>
      <c r="F16" s="40" t="s">
        <v>3</v>
      </c>
      <c r="G16" s="1"/>
    </row>
    <row r="17" spans="1:7" ht="15" customHeight="1" x14ac:dyDescent="0.45">
      <c r="A17" s="1"/>
      <c r="B17" s="39" t="s">
        <v>12</v>
      </c>
      <c r="C17" s="39"/>
      <c r="D17" s="39"/>
      <c r="E17" s="39"/>
      <c r="F17" s="39"/>
      <c r="G17" s="1"/>
    </row>
    <row r="18" spans="1:7" ht="15" customHeight="1" x14ac:dyDescent="0.45">
      <c r="A18" s="1"/>
      <c r="B18" s="40" t="s">
        <v>12</v>
      </c>
      <c r="C18" s="40"/>
      <c r="D18" s="40"/>
      <c r="E18" s="9">
        <f>'Fane 4. Ikke-påvirkelige omk.'!C14</f>
        <v>1767922.5454480799</v>
      </c>
      <c r="F18" s="40" t="s">
        <v>3</v>
      </c>
      <c r="G18" s="1"/>
    </row>
    <row r="19" spans="1:7" ht="15" customHeight="1" x14ac:dyDescent="0.45">
      <c r="A19" s="1"/>
      <c r="B19" s="39" t="s">
        <v>52</v>
      </c>
      <c r="C19" s="39"/>
      <c r="D19" s="39"/>
      <c r="E19" s="39"/>
      <c r="F19" s="39"/>
      <c r="G19" s="1"/>
    </row>
    <row r="20" spans="1:7" ht="15" customHeight="1" x14ac:dyDescent="0.45">
      <c r="A20" s="1"/>
      <c r="B20" s="27" t="s">
        <v>49</v>
      </c>
      <c r="C20" s="42"/>
      <c r="D20" s="42"/>
      <c r="E20" s="8">
        <f>'Fane 7.2. Engangstillæg'!C15</f>
        <v>0</v>
      </c>
      <c r="F20" s="42" t="s">
        <v>3</v>
      </c>
      <c r="G20" s="1"/>
    </row>
    <row r="21" spans="1:7" x14ac:dyDescent="0.45">
      <c r="A21" s="1"/>
      <c r="B21" s="27" t="s">
        <v>50</v>
      </c>
      <c r="C21" s="42"/>
      <c r="D21" s="42"/>
      <c r="E21" s="8">
        <f>'Fane 7.2. Engangstillæg'!E15</f>
        <v>0</v>
      </c>
      <c r="F21" s="42" t="s">
        <v>3</v>
      </c>
      <c r="G21" s="1"/>
    </row>
    <row r="22" spans="1:7" ht="15" customHeight="1" x14ac:dyDescent="0.45">
      <c r="A22" s="1"/>
      <c r="B22" s="43" t="s">
        <v>53</v>
      </c>
      <c r="C22" s="38"/>
      <c r="D22" s="38"/>
      <c r="E22" s="9">
        <f>SUM(E20:E21)</f>
        <v>0</v>
      </c>
      <c r="F22" s="40" t="s">
        <v>3</v>
      </c>
      <c r="G22" s="1"/>
    </row>
    <row r="23" spans="1:7" x14ac:dyDescent="0.45">
      <c r="A23" s="1"/>
      <c r="B23" s="39" t="s">
        <v>124</v>
      </c>
      <c r="C23" s="39"/>
      <c r="D23" s="39"/>
      <c r="E23" s="39"/>
      <c r="F23" s="39"/>
      <c r="G23" s="1"/>
    </row>
    <row r="24" spans="1:7" x14ac:dyDescent="0.45">
      <c r="A24" s="1"/>
      <c r="B24" s="43" t="s">
        <v>36</v>
      </c>
      <c r="C24" s="38"/>
      <c r="D24" s="38"/>
      <c r="E24" s="9">
        <f>'Fane 5. Kontrol af ØR2019'!E42</f>
        <v>-347151.82223552751</v>
      </c>
      <c r="F24" s="40" t="s">
        <v>3</v>
      </c>
      <c r="G24" s="1"/>
    </row>
    <row r="25" spans="1:7" x14ac:dyDescent="0.45">
      <c r="A25" s="1"/>
      <c r="B25" s="43" t="s">
        <v>125</v>
      </c>
      <c r="C25" s="38"/>
      <c r="D25" s="38"/>
      <c r="E25" s="9">
        <f>'Fane 5. Kontrol af ØR2019'!E43</f>
        <v>-1142709.8405786024</v>
      </c>
      <c r="F25" s="40" t="s">
        <v>3</v>
      </c>
      <c r="G25" s="1"/>
    </row>
    <row r="26" spans="1:7" x14ac:dyDescent="0.45">
      <c r="A26" s="1"/>
      <c r="B26" s="39" t="s">
        <v>28</v>
      </c>
      <c r="C26" s="39"/>
      <c r="D26" s="39"/>
      <c r="E26" s="10">
        <f>SUM(E16,E18,E22,E24,E25)</f>
        <v>3459381.1173741603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90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64"/>
      <c r="C5" s="64"/>
      <c r="D5" s="64"/>
      <c r="E5" s="64"/>
      <c r="F5" s="6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13</v>
      </c>
      <c r="C8" s="39"/>
      <c r="D8" s="39"/>
      <c r="E8" s="39"/>
      <c r="F8" s="39"/>
      <c r="G8" s="1"/>
    </row>
    <row r="9" spans="1:7" ht="15" customHeight="1" x14ac:dyDescent="0.45">
      <c r="A9" s="1"/>
      <c r="B9" s="42" t="s">
        <v>27</v>
      </c>
      <c r="C9" s="42"/>
      <c r="D9" s="42"/>
      <c r="E9" s="7">
        <f>'Fane 2.1. Økonomisk ramme 2021'!E16</f>
        <v>3181320.2347402107</v>
      </c>
      <c r="F9" s="42" t="s">
        <v>3</v>
      </c>
      <c r="G9" s="1"/>
    </row>
    <row r="10" spans="1:7" ht="15" customHeight="1" x14ac:dyDescent="0.45">
      <c r="A10" s="1"/>
      <c r="B10" s="27" t="s">
        <v>82</v>
      </c>
      <c r="C10" s="42"/>
      <c r="D10" s="42"/>
      <c r="E10" s="7">
        <f>-('Fane 9. Bortfald'!C18+'Fane 9. Bortfald'!E18)</f>
        <v>0</v>
      </c>
      <c r="F10" s="42" t="s">
        <v>3</v>
      </c>
      <c r="G10" s="1"/>
    </row>
    <row r="11" spans="1:7" ht="15" customHeight="1" x14ac:dyDescent="0.45">
      <c r="A11" s="1"/>
      <c r="B11" s="37" t="s">
        <v>18</v>
      </c>
      <c r="C11" s="42"/>
      <c r="D11" s="42"/>
      <c r="E11" s="8">
        <f>SUM(E9:E10)*'Fane 10. Nøgletal'!C13</f>
        <v>38812.106863830573</v>
      </c>
      <c r="F11" s="42" t="s">
        <v>3</v>
      </c>
      <c r="G11" s="1"/>
    </row>
    <row r="12" spans="1:7" ht="15" customHeight="1" x14ac:dyDescent="0.45">
      <c r="A12" s="1"/>
      <c r="B12" s="37" t="s">
        <v>72</v>
      </c>
      <c r="C12" s="42"/>
      <c r="D12" s="42"/>
      <c r="E12" s="8">
        <f>-SUM(E9:E11)*'Fane 10. Nøgletal'!C18</f>
        <v>-54742.249807268709</v>
      </c>
      <c r="F12" s="42" t="s">
        <v>3</v>
      </c>
      <c r="G12" s="1"/>
    </row>
    <row r="13" spans="1:7" ht="15" customHeight="1" x14ac:dyDescent="0.45">
      <c r="A13" s="1"/>
      <c r="B13" s="38" t="s">
        <v>20</v>
      </c>
      <c r="C13" s="38"/>
      <c r="D13" s="38"/>
      <c r="E13" s="9">
        <f>SUM(E9:E12)</f>
        <v>3165390.0917967726</v>
      </c>
      <c r="F13" s="40" t="s">
        <v>3</v>
      </c>
      <c r="G13" s="1"/>
    </row>
    <row r="14" spans="1:7" x14ac:dyDescent="0.45">
      <c r="A14" s="1"/>
      <c r="B14" s="39" t="s">
        <v>12</v>
      </c>
      <c r="C14" s="39"/>
      <c r="D14" s="39"/>
      <c r="E14" s="39"/>
      <c r="F14" s="39"/>
      <c r="G14" s="1"/>
    </row>
    <row r="15" spans="1:7" ht="15" customHeight="1" x14ac:dyDescent="0.45">
      <c r="A15" s="1"/>
      <c r="B15" s="40" t="s">
        <v>12</v>
      </c>
      <c r="C15" s="40"/>
      <c r="D15" s="40"/>
      <c r="E15" s="9">
        <f>'Fane 4. Ikke-påvirkelige omk.'!C14*(1+'Fane 10. Nøgletal'!C13)</f>
        <v>1789491.2005025465</v>
      </c>
      <c r="F15" s="40" t="s">
        <v>3</v>
      </c>
      <c r="G15" s="1"/>
    </row>
    <row r="16" spans="1:7" ht="15" customHeight="1" x14ac:dyDescent="0.45">
      <c r="A16" s="1"/>
      <c r="B16" s="39" t="s">
        <v>52</v>
      </c>
      <c r="C16" s="39"/>
      <c r="D16" s="39"/>
      <c r="E16" s="39"/>
      <c r="F16" s="39"/>
      <c r="G16" s="1"/>
    </row>
    <row r="17" spans="1:7" ht="15" customHeight="1" x14ac:dyDescent="0.45">
      <c r="A17" s="1"/>
      <c r="B17" s="27" t="s">
        <v>49</v>
      </c>
      <c r="C17" s="42"/>
      <c r="D17" s="42"/>
      <c r="E17" s="8">
        <f>'Fane 7.2. Engangstillæg'!C24</f>
        <v>0</v>
      </c>
      <c r="F17" s="42" t="s">
        <v>3</v>
      </c>
      <c r="G17" s="1"/>
    </row>
    <row r="18" spans="1:7" ht="15" customHeight="1" x14ac:dyDescent="0.45">
      <c r="A18" s="1"/>
      <c r="B18" s="27" t="s">
        <v>50</v>
      </c>
      <c r="C18" s="42"/>
      <c r="D18" s="42"/>
      <c r="E18" s="8">
        <f>'Fane 7.2. Engangstillæg'!E24</f>
        <v>0</v>
      </c>
      <c r="F18" s="42" t="s">
        <v>3</v>
      </c>
      <c r="G18" s="1"/>
    </row>
    <row r="19" spans="1:7" ht="15" customHeight="1" x14ac:dyDescent="0.45">
      <c r="A19" s="1"/>
      <c r="B19" s="43" t="s">
        <v>53</v>
      </c>
      <c r="C19" s="38"/>
      <c r="D19" s="38"/>
      <c r="E19" s="9">
        <f>SUM(E17:E18)</f>
        <v>0</v>
      </c>
      <c r="F19" s="40" t="s">
        <v>3</v>
      </c>
      <c r="G19" s="1"/>
    </row>
    <row r="20" spans="1:7" x14ac:dyDescent="0.45">
      <c r="A20" s="1"/>
      <c r="B20" s="39" t="s">
        <v>124</v>
      </c>
      <c r="C20" s="39"/>
      <c r="D20" s="39"/>
      <c r="E20" s="39"/>
      <c r="F20" s="39"/>
      <c r="G20" s="1"/>
    </row>
    <row r="21" spans="1:7" ht="15" customHeight="1" x14ac:dyDescent="0.45">
      <c r="A21" s="1"/>
      <c r="B21" s="40" t="s">
        <v>36</v>
      </c>
      <c r="C21" s="40"/>
      <c r="D21" s="40"/>
      <c r="E21" s="9">
        <f>'Fane 5. Kontrol af ØR2019'!E42</f>
        <v>-347151.82223552751</v>
      </c>
      <c r="F21" s="40" t="s">
        <v>3</v>
      </c>
      <c r="G21" s="1"/>
    </row>
    <row r="22" spans="1:7" x14ac:dyDescent="0.45">
      <c r="A22" s="1"/>
      <c r="B22" s="43" t="s">
        <v>125</v>
      </c>
      <c r="C22" s="40"/>
      <c r="D22" s="40"/>
      <c r="E22" s="9">
        <f>'Fane 5. Kontrol af ØR2019'!E43</f>
        <v>-1142709.8405786024</v>
      </c>
      <c r="F22" s="40" t="s">
        <v>3</v>
      </c>
      <c r="G22" s="1"/>
    </row>
    <row r="23" spans="1:7" x14ac:dyDescent="0.45">
      <c r="A23" s="1"/>
      <c r="B23" s="39" t="s">
        <v>29</v>
      </c>
      <c r="C23" s="39"/>
      <c r="D23" s="39"/>
      <c r="E23" s="10">
        <f>SUM(E13,E15,E19,E21,E22)</f>
        <v>3465019.629485189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91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64" t="s">
        <v>21</v>
      </c>
      <c r="C5" s="64"/>
      <c r="D5" s="64"/>
      <c r="E5" s="64"/>
      <c r="F5" s="6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45">
      <c r="A8" s="1"/>
      <c r="B8" s="42" t="s">
        <v>92</v>
      </c>
      <c r="C8" s="42"/>
      <c r="D8" s="42"/>
      <c r="E8" s="7">
        <f>'Fane 2.2. Økonomisk ramme 2022'!E13</f>
        <v>3165390.0917967726</v>
      </c>
      <c r="F8" s="42" t="s">
        <v>3</v>
      </c>
      <c r="G8" s="1"/>
    </row>
    <row r="9" spans="1:7" ht="15" customHeight="1" x14ac:dyDescent="0.45">
      <c r="A9" s="1"/>
      <c r="B9" s="42" t="s">
        <v>82</v>
      </c>
      <c r="C9" s="42"/>
      <c r="D9" s="42"/>
      <c r="E9" s="7">
        <f>-('Fane 9. Bortfald'!C24+'Fane 9. Bortfald'!E24)</f>
        <v>0</v>
      </c>
      <c r="F9" s="42" t="s">
        <v>3</v>
      </c>
      <c r="G9" s="1"/>
    </row>
    <row r="10" spans="1:7" ht="15" customHeight="1" x14ac:dyDescent="0.45">
      <c r="A10" s="1"/>
      <c r="B10" s="37" t="s">
        <v>18</v>
      </c>
      <c r="C10" s="42"/>
      <c r="D10" s="42"/>
      <c r="E10" s="8">
        <f>SUM(E8:E9)*'Fane 10. Nøgletal'!C13</f>
        <v>38617.759119920629</v>
      </c>
      <c r="F10" s="42" t="s">
        <v>3</v>
      </c>
      <c r="G10" s="1"/>
    </row>
    <row r="11" spans="1:7" ht="15" customHeight="1" x14ac:dyDescent="0.45">
      <c r="A11" s="1"/>
      <c r="B11" s="37" t="s">
        <v>72</v>
      </c>
      <c r="C11" s="42"/>
      <c r="D11" s="42"/>
      <c r="E11" s="8">
        <f>-SUM(E8:E10)*'Fane 10. Nøgletal'!C18</f>
        <v>-54468.133465583785</v>
      </c>
      <c r="F11" s="42" t="s">
        <v>3</v>
      </c>
      <c r="G11" s="1"/>
    </row>
    <row r="12" spans="1:7" x14ac:dyDescent="0.45">
      <c r="A12" s="1"/>
      <c r="B12" s="38" t="s">
        <v>20</v>
      </c>
      <c r="C12" s="38"/>
      <c r="D12" s="38"/>
      <c r="E12" s="9">
        <f>SUM(E8:E11)</f>
        <v>3149539.7174511091</v>
      </c>
      <c r="F12" s="40" t="s">
        <v>3</v>
      </c>
      <c r="G12" s="1"/>
    </row>
    <row r="13" spans="1:7" x14ac:dyDescent="0.4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45">
      <c r="A14" s="1"/>
      <c r="B14" s="40" t="s">
        <v>12</v>
      </c>
      <c r="C14" s="40"/>
      <c r="D14" s="40"/>
      <c r="E14" s="9">
        <f>'Fane 4. Ikke-påvirkelige omk.'!C14*(1+'Fane 10. Nøgletal'!C13)^2</f>
        <v>1811322.9931486775</v>
      </c>
      <c r="F14" s="40" t="s">
        <v>3</v>
      </c>
      <c r="G14" s="1"/>
    </row>
    <row r="15" spans="1:7" ht="15" customHeight="1" x14ac:dyDescent="0.4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45">
      <c r="A16" s="1"/>
      <c r="B16" s="27" t="s">
        <v>49</v>
      </c>
      <c r="C16" s="42"/>
      <c r="D16" s="42"/>
      <c r="E16" s="8">
        <f>'Fane 7.2. Engangstillæg'!C33</f>
        <v>0</v>
      </c>
      <c r="F16" s="42" t="s">
        <v>3</v>
      </c>
      <c r="G16" s="1"/>
    </row>
    <row r="17" spans="1:7" ht="15" customHeight="1" x14ac:dyDescent="0.45">
      <c r="A17" s="1"/>
      <c r="B17" s="27" t="s">
        <v>50</v>
      </c>
      <c r="C17" s="42"/>
      <c r="D17" s="42"/>
      <c r="E17" s="8">
        <f>'Fane 7.2. Engangstillæg'!E33</f>
        <v>0</v>
      </c>
      <c r="F17" s="42" t="s">
        <v>3</v>
      </c>
      <c r="G17" s="1"/>
    </row>
    <row r="18" spans="1:7" ht="15" customHeight="1" x14ac:dyDescent="0.45">
      <c r="A18" s="1"/>
      <c r="B18" s="43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45">
      <c r="A19" s="1"/>
      <c r="B19" s="39" t="s">
        <v>57</v>
      </c>
      <c r="C19" s="39"/>
      <c r="D19" s="39"/>
      <c r="E19" s="10">
        <f>SUM(E12,E14,E18)</f>
        <v>4960862.7105997866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93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64" t="s">
        <v>21</v>
      </c>
      <c r="C5" s="64"/>
      <c r="D5" s="64"/>
      <c r="E5" s="64"/>
      <c r="F5" s="6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45">
      <c r="A8" s="1"/>
      <c r="B8" s="42" t="s">
        <v>94</v>
      </c>
      <c r="C8" s="42"/>
      <c r="D8" s="42"/>
      <c r="E8" s="7">
        <f>'Fane 2.3. Økonomisk ramme 2023'!E12</f>
        <v>3149539.7174511091</v>
      </c>
      <c r="F8" s="42" t="s">
        <v>3</v>
      </c>
      <c r="G8" s="1"/>
    </row>
    <row r="9" spans="1:7" ht="15" customHeight="1" x14ac:dyDescent="0.45">
      <c r="A9" s="1"/>
      <c r="B9" s="42" t="s">
        <v>82</v>
      </c>
      <c r="C9" s="42"/>
      <c r="D9" s="42"/>
      <c r="E9" s="7">
        <f>-('Fane 9. Bortfald'!C30+'Fane 9. Bortfald'!E30)</f>
        <v>0</v>
      </c>
      <c r="F9" s="42" t="s">
        <v>3</v>
      </c>
      <c r="G9" s="1"/>
    </row>
    <row r="10" spans="1:7" ht="15" customHeight="1" x14ac:dyDescent="0.45">
      <c r="A10" s="1"/>
      <c r="B10" s="37" t="s">
        <v>18</v>
      </c>
      <c r="C10" s="42"/>
      <c r="D10" s="42"/>
      <c r="E10" s="8">
        <f>SUM(E8:E9)*'Fane 10. Nøgletal'!C13</f>
        <v>38424.384552903532</v>
      </c>
      <c r="F10" s="42" t="s">
        <v>3</v>
      </c>
      <c r="G10" s="1"/>
    </row>
    <row r="11" spans="1:7" ht="15" customHeight="1" x14ac:dyDescent="0.45">
      <c r="A11" s="1"/>
      <c r="B11" s="37" t="s">
        <v>72</v>
      </c>
      <c r="C11" s="42"/>
      <c r="D11" s="42"/>
      <c r="E11" s="8">
        <f>-SUM(E8:E10)*'Fane 10. Nøgletal'!C18</f>
        <v>-54195.389734068216</v>
      </c>
      <c r="F11" s="42" t="s">
        <v>3</v>
      </c>
      <c r="G11" s="1"/>
    </row>
    <row r="12" spans="1:7" x14ac:dyDescent="0.45">
      <c r="A12" s="1"/>
      <c r="B12" s="38" t="s">
        <v>20</v>
      </c>
      <c r="C12" s="38"/>
      <c r="D12" s="38"/>
      <c r="E12" s="9">
        <f>SUM(E8:E11)</f>
        <v>3133768.7122699441</v>
      </c>
      <c r="F12" s="40" t="s">
        <v>3</v>
      </c>
      <c r="G12" s="1"/>
    </row>
    <row r="13" spans="1:7" x14ac:dyDescent="0.4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45">
      <c r="A14" s="1"/>
      <c r="B14" s="40" t="s">
        <v>12</v>
      </c>
      <c r="C14" s="40"/>
      <c r="D14" s="40"/>
      <c r="E14" s="9">
        <f>'Fane 4. Ikke-påvirkelige omk.'!C14*(1+'Fane 10. Nøgletal'!C13)^3</f>
        <v>1833421.1336650916</v>
      </c>
      <c r="F14" s="40" t="s">
        <v>3</v>
      </c>
      <c r="G14" s="1"/>
    </row>
    <row r="15" spans="1:7" ht="15" customHeight="1" x14ac:dyDescent="0.4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45">
      <c r="A16" s="1"/>
      <c r="B16" s="27" t="s">
        <v>49</v>
      </c>
      <c r="C16" s="42"/>
      <c r="D16" s="42"/>
      <c r="E16" s="8">
        <f>'Fane 7.2. Engangstillæg'!C42</f>
        <v>0</v>
      </c>
      <c r="F16" s="42" t="s">
        <v>3</v>
      </c>
      <c r="G16" s="1"/>
    </row>
    <row r="17" spans="1:7" ht="15" customHeight="1" x14ac:dyDescent="0.45">
      <c r="A17" s="1"/>
      <c r="B17" s="27" t="s">
        <v>50</v>
      </c>
      <c r="C17" s="42"/>
      <c r="D17" s="42"/>
      <c r="E17" s="8">
        <f>'Fane 7.2. Engangstillæg'!E42</f>
        <v>0</v>
      </c>
      <c r="F17" s="42" t="s">
        <v>3</v>
      </c>
      <c r="G17" s="1"/>
    </row>
    <row r="18" spans="1:7" ht="15" customHeight="1" x14ac:dyDescent="0.45">
      <c r="A18" s="1"/>
      <c r="B18" s="43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45">
      <c r="A19" s="1"/>
      <c r="B19" s="39" t="s">
        <v>95</v>
      </c>
      <c r="C19" s="39"/>
      <c r="D19" s="39"/>
      <c r="E19" s="10">
        <f>SUM(E12,E14,E18)</f>
        <v>4967189.8459350355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96</v>
      </c>
      <c r="C3" s="65"/>
      <c r="D3" s="65"/>
      <c r="E3" s="65"/>
      <c r="F3" s="65"/>
      <c r="G3" s="1"/>
    </row>
    <row r="4" spans="1:7" ht="29.2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97</v>
      </c>
      <c r="C8" s="39"/>
      <c r="D8" s="39"/>
      <c r="E8" s="39"/>
      <c r="F8" s="39"/>
      <c r="G8" s="1"/>
    </row>
    <row r="9" spans="1:7" x14ac:dyDescent="0.45">
      <c r="A9" s="1"/>
      <c r="B9" s="66" t="s">
        <v>24</v>
      </c>
      <c r="C9" s="66"/>
      <c r="D9" s="66"/>
      <c r="E9" s="7">
        <v>2380701.0123274736</v>
      </c>
      <c r="F9" s="42" t="s">
        <v>3</v>
      </c>
      <c r="G9" s="1"/>
    </row>
    <row r="10" spans="1:7" x14ac:dyDescent="0.45">
      <c r="A10" s="1"/>
      <c r="B10" s="67" t="s">
        <v>149</v>
      </c>
      <c r="C10" s="67"/>
      <c r="D10" s="67"/>
      <c r="E10" s="7">
        <v>0</v>
      </c>
      <c r="F10" s="42" t="s">
        <v>3</v>
      </c>
      <c r="G10" s="1"/>
    </row>
    <row r="11" spans="1:7" x14ac:dyDescent="0.45">
      <c r="A11" s="1"/>
      <c r="B11" s="67" t="s">
        <v>150</v>
      </c>
      <c r="C11" s="67"/>
      <c r="D11" s="67"/>
      <c r="E11" s="7">
        <v>0</v>
      </c>
      <c r="F11" s="42" t="s">
        <v>3</v>
      </c>
      <c r="G11" s="1"/>
    </row>
    <row r="12" spans="1:7" x14ac:dyDescent="0.45">
      <c r="A12" s="1"/>
      <c r="B12" s="67" t="s">
        <v>80</v>
      </c>
      <c r="C12" s="67"/>
      <c r="D12" s="67"/>
      <c r="E12" s="7">
        <v>0</v>
      </c>
      <c r="F12" s="42" t="s">
        <v>3</v>
      </c>
      <c r="G12" s="1"/>
    </row>
    <row r="13" spans="1:7" x14ac:dyDescent="0.45">
      <c r="A13" s="1"/>
      <c r="B13" s="67" t="s">
        <v>81</v>
      </c>
      <c r="C13" s="67"/>
      <c r="D13" s="67"/>
      <c r="E13" s="8">
        <v>0</v>
      </c>
      <c r="F13" s="42" t="s">
        <v>3</v>
      </c>
      <c r="G13" s="1"/>
    </row>
    <row r="14" spans="1:7" x14ac:dyDescent="0.45">
      <c r="A14" s="1"/>
      <c r="B14" s="67" t="s">
        <v>18</v>
      </c>
      <c r="C14" s="67"/>
      <c r="D14" s="67"/>
      <c r="E14" s="8">
        <f>(E9-SUM(E10:E11))*'Fane 10. Nøgletal'!C9+E10*'Fane 10. Nøgletal'!C10+E11*'Fane 10. Nøgletal'!C11+SUM(E12:E13)*'Fane 10. Nøgletal'!C12</f>
        <v>30234.902856558914</v>
      </c>
      <c r="F14" s="42" t="s">
        <v>3</v>
      </c>
      <c r="G14" s="1"/>
    </row>
    <row r="15" spans="1:7" x14ac:dyDescent="0.45">
      <c r="A15" s="1"/>
      <c r="B15" s="67" t="s">
        <v>72</v>
      </c>
      <c r="C15" s="67"/>
      <c r="D15" s="67"/>
      <c r="E15" s="8">
        <f>-SUM(E9:E9,E12:E14)*'Fane 10. Nøgletal'!C18</f>
        <v>-40985.910558128555</v>
      </c>
      <c r="F15" s="42" t="s">
        <v>3</v>
      </c>
      <c r="G15" s="1"/>
    </row>
    <row r="16" spans="1:7" x14ac:dyDescent="0.45">
      <c r="A16" s="1"/>
      <c r="B16" s="72" t="s">
        <v>20</v>
      </c>
      <c r="C16" s="72"/>
      <c r="D16" s="72"/>
      <c r="E16" s="9">
        <f>SUM(E9,E12:E15)</f>
        <v>2369950.0046259039</v>
      </c>
      <c r="F16" s="40" t="s">
        <v>3</v>
      </c>
      <c r="G16" s="1"/>
    </row>
    <row r="17" spans="1:7" x14ac:dyDescent="0.45">
      <c r="A17" s="1"/>
      <c r="B17" s="73" t="s">
        <v>12</v>
      </c>
      <c r="C17" s="73"/>
      <c r="D17" s="73"/>
      <c r="E17" s="39"/>
      <c r="F17" s="39"/>
      <c r="G17" s="1"/>
    </row>
    <row r="18" spans="1:7" x14ac:dyDescent="0.45">
      <c r="A18" s="1"/>
      <c r="B18" s="74" t="s">
        <v>12</v>
      </c>
      <c r="C18" s="74"/>
      <c r="D18" s="74"/>
      <c r="E18" s="9">
        <v>1734884.3485888201</v>
      </c>
      <c r="F18" s="40" t="s">
        <v>3</v>
      </c>
      <c r="G18" s="1"/>
    </row>
    <row r="19" spans="1:7" x14ac:dyDescent="0.45">
      <c r="A19" s="1"/>
      <c r="B19" s="39" t="s">
        <v>52</v>
      </c>
      <c r="C19" s="39"/>
      <c r="D19" s="39"/>
      <c r="E19" s="39"/>
      <c r="F19" s="39"/>
      <c r="G19" s="1"/>
    </row>
    <row r="20" spans="1:7" ht="15.4" customHeight="1" x14ac:dyDescent="0.45">
      <c r="A20" s="1"/>
      <c r="B20" s="75" t="s">
        <v>49</v>
      </c>
      <c r="C20" s="76"/>
      <c r="D20" s="77"/>
      <c r="E20" s="31">
        <v>0</v>
      </c>
      <c r="F20" s="31" t="s">
        <v>3</v>
      </c>
      <c r="G20" s="1"/>
    </row>
    <row r="21" spans="1:7" ht="15.75" customHeight="1" x14ac:dyDescent="0.45">
      <c r="A21" s="1"/>
      <c r="B21" s="75" t="s">
        <v>50</v>
      </c>
      <c r="C21" s="76"/>
      <c r="D21" s="77"/>
      <c r="E21" s="31">
        <v>0</v>
      </c>
      <c r="F21" s="31" t="s">
        <v>3</v>
      </c>
      <c r="G21" s="1"/>
    </row>
    <row r="22" spans="1:7" x14ac:dyDescent="0.45">
      <c r="A22" s="1"/>
      <c r="B22" s="78" t="s">
        <v>53</v>
      </c>
      <c r="C22" s="79"/>
      <c r="D22" s="80"/>
      <c r="E22" s="9">
        <v>0</v>
      </c>
      <c r="F22" s="9" t="s">
        <v>3</v>
      </c>
      <c r="G22" s="1"/>
    </row>
    <row r="23" spans="1:7" x14ac:dyDescent="0.45">
      <c r="A23" s="1"/>
      <c r="B23" s="39" t="s">
        <v>145</v>
      </c>
      <c r="C23" s="39"/>
      <c r="D23" s="39"/>
      <c r="E23" s="39"/>
      <c r="F23" s="39"/>
      <c r="G23" s="1"/>
    </row>
    <row r="24" spans="1:7" ht="15.75" customHeight="1" x14ac:dyDescent="0.45">
      <c r="A24" s="1"/>
      <c r="B24" s="68" t="s">
        <v>146</v>
      </c>
      <c r="C24" s="69"/>
      <c r="D24" s="70"/>
      <c r="E24" s="9">
        <v>-496555</v>
      </c>
      <c r="F24" s="9" t="s">
        <v>3</v>
      </c>
      <c r="G24" s="1"/>
    </row>
    <row r="25" spans="1:7" x14ac:dyDescent="0.45">
      <c r="A25" s="1"/>
      <c r="B25" s="39" t="s">
        <v>147</v>
      </c>
      <c r="C25" s="39"/>
      <c r="D25" s="39"/>
      <c r="E25" s="39"/>
      <c r="F25" s="39"/>
      <c r="G25" s="1"/>
    </row>
    <row r="26" spans="1:7" ht="15.4" customHeight="1" x14ac:dyDescent="0.45">
      <c r="A26" s="1"/>
      <c r="B26" s="68" t="s">
        <v>148</v>
      </c>
      <c r="C26" s="69"/>
      <c r="D26" s="70"/>
      <c r="E26" s="9">
        <v>0</v>
      </c>
      <c r="F26" s="40" t="s">
        <v>3</v>
      </c>
      <c r="G26" s="1"/>
    </row>
    <row r="27" spans="1:7" x14ac:dyDescent="0.45">
      <c r="A27" s="1"/>
      <c r="B27" s="39" t="s">
        <v>25</v>
      </c>
      <c r="C27" s="39"/>
      <c r="D27" s="39"/>
      <c r="E27" s="10">
        <f>E16+E18+E22+E24+E26</f>
        <v>3608279.353214724</v>
      </c>
      <c r="F27" s="11" t="s">
        <v>3</v>
      </c>
      <c r="G27" s="1"/>
    </row>
    <row r="28" spans="1:7" ht="28.5" customHeight="1" x14ac:dyDescent="0.45">
      <c r="A28" s="1"/>
      <c r="B28" s="71" t="s">
        <v>98</v>
      </c>
      <c r="C28" s="71"/>
      <c r="D28" s="71"/>
      <c r="E28" s="71"/>
      <c r="F28" s="7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3" t="s">
        <v>69</v>
      </c>
      <c r="C3" s="63"/>
      <c r="D3" s="63"/>
      <c r="E3" s="1"/>
      <c r="F3" s="1"/>
    </row>
    <row r="4" spans="1:6" ht="15" customHeight="1" x14ac:dyDescent="0.45">
      <c r="A4" s="1"/>
      <c r="B4" s="63"/>
      <c r="C4" s="63"/>
      <c r="D4" s="6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1" t="s">
        <v>99</v>
      </c>
      <c r="C8" s="82"/>
      <c r="D8" s="83"/>
      <c r="E8" s="1"/>
      <c r="F8" s="1"/>
    </row>
    <row r="9" spans="1:6" ht="15" customHeight="1" x14ac:dyDescent="0.45">
      <c r="A9" s="1"/>
      <c r="B9" s="17" t="s">
        <v>32</v>
      </c>
      <c r="C9" s="40" t="s">
        <v>100</v>
      </c>
      <c r="D9" s="40"/>
      <c r="E9" s="1"/>
      <c r="F9" s="1"/>
    </row>
    <row r="10" spans="1:6" x14ac:dyDescent="0.45">
      <c r="A10" s="1"/>
      <c r="B10" s="26" t="s">
        <v>153</v>
      </c>
      <c r="C10" s="8">
        <v>1718295</v>
      </c>
      <c r="D10" s="12" t="s">
        <v>3</v>
      </c>
      <c r="E10" s="1"/>
      <c r="F10" s="1"/>
    </row>
    <row r="11" spans="1:6" x14ac:dyDescent="0.45">
      <c r="A11" s="1"/>
      <c r="B11" s="26" t="s">
        <v>154</v>
      </c>
      <c r="C11" s="8">
        <v>5417</v>
      </c>
      <c r="D11" s="12" t="s">
        <v>3</v>
      </c>
      <c r="E11" s="1"/>
      <c r="F11" s="1"/>
    </row>
    <row r="12" spans="1:6" x14ac:dyDescent="0.45">
      <c r="A12" s="1"/>
      <c r="B12" s="26" t="s">
        <v>155</v>
      </c>
      <c r="C12" s="8">
        <v>1850</v>
      </c>
      <c r="D12" s="12" t="s">
        <v>3</v>
      </c>
      <c r="E12" s="1"/>
      <c r="F12" s="1"/>
    </row>
    <row r="13" spans="1:6" x14ac:dyDescent="0.45">
      <c r="A13" s="1"/>
      <c r="B13" s="46" t="s">
        <v>101</v>
      </c>
      <c r="C13" s="10">
        <f>SUM(C10:C12)</f>
        <v>1725562</v>
      </c>
      <c r="D13" s="11" t="s">
        <v>3</v>
      </c>
      <c r="E13" s="1"/>
      <c r="F13" s="1"/>
    </row>
    <row r="14" spans="1:6" x14ac:dyDescent="0.45">
      <c r="A14" s="1"/>
      <c r="B14" s="46" t="s">
        <v>102</v>
      </c>
      <c r="C14" s="10">
        <f>C13*(1+'Fane 10. Nøgletal'!C13)^2</f>
        <v>1767922.5454480799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5" t="s">
        <v>116</v>
      </c>
      <c r="C3" s="65"/>
      <c r="D3" s="65"/>
      <c r="E3" s="65"/>
      <c r="F3" s="65"/>
      <c r="G3" s="1"/>
    </row>
    <row r="4" spans="1:7" ht="15" customHeight="1" x14ac:dyDescent="0.45">
      <c r="A4" s="1"/>
      <c r="B4" s="65"/>
      <c r="C4" s="65"/>
      <c r="D4" s="65"/>
      <c r="E4" s="65"/>
      <c r="F4" s="65"/>
      <c r="G4" s="1"/>
    </row>
    <row r="5" spans="1:7" ht="15" customHeight="1" x14ac:dyDescent="0.45">
      <c r="A5" s="1"/>
      <c r="B5" s="41"/>
      <c r="C5" s="41"/>
      <c r="D5" s="41"/>
      <c r="E5" s="41"/>
      <c r="F5" s="41"/>
      <c r="G5" s="1"/>
    </row>
    <row r="6" spans="1:7" ht="15" customHeight="1" x14ac:dyDescent="0.45">
      <c r="A6" s="1"/>
      <c r="B6" s="84" t="s">
        <v>36</v>
      </c>
      <c r="C6" s="84"/>
      <c r="D6" s="84"/>
      <c r="E6" s="84"/>
      <c r="F6" s="84"/>
      <c r="G6" s="1"/>
    </row>
    <row r="7" spans="1:7" ht="15" customHeight="1" x14ac:dyDescent="0.45">
      <c r="A7" s="1"/>
      <c r="B7" s="90" t="s">
        <v>34</v>
      </c>
      <c r="C7" s="90"/>
      <c r="D7" s="90"/>
      <c r="E7" s="8">
        <v>383426.46666666667</v>
      </c>
      <c r="F7" s="12" t="s">
        <v>3</v>
      </c>
      <c r="G7" s="1"/>
    </row>
    <row r="8" spans="1:7" ht="15" customHeight="1" x14ac:dyDescent="0.45">
      <c r="A8" s="1"/>
      <c r="B8" s="90" t="s">
        <v>35</v>
      </c>
      <c r="C8" s="90"/>
      <c r="D8" s="90"/>
      <c r="E8" s="8">
        <v>-1077730.1111377217</v>
      </c>
      <c r="F8" s="12" t="s">
        <v>3</v>
      </c>
      <c r="G8" s="1"/>
    </row>
    <row r="9" spans="1:7" ht="15" customHeight="1" x14ac:dyDescent="0.45">
      <c r="A9" s="1"/>
      <c r="B9" s="78" t="s">
        <v>76</v>
      </c>
      <c r="C9" s="79"/>
      <c r="D9" s="80"/>
      <c r="E9" s="9">
        <f>SUM(E7:E8)</f>
        <v>-694303.64447105501</v>
      </c>
      <c r="F9" s="15" t="s">
        <v>3</v>
      </c>
      <c r="G9" s="1"/>
    </row>
    <row r="10" spans="1:7" ht="15" customHeight="1" x14ac:dyDescent="0.45">
      <c r="A10" s="1"/>
      <c r="B10" s="81"/>
      <c r="C10" s="82"/>
      <c r="D10" s="82"/>
      <c r="E10" s="82"/>
      <c r="F10" s="83"/>
      <c r="G10" s="1"/>
    </row>
    <row r="11" spans="1:7" ht="27" customHeight="1" x14ac:dyDescent="0.45">
      <c r="A11" s="1"/>
      <c r="B11" s="71" t="s">
        <v>71</v>
      </c>
      <c r="C11" s="71"/>
      <c r="D11" s="71"/>
      <c r="E11" s="71"/>
      <c r="F11" s="71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4" t="s">
        <v>62</v>
      </c>
      <c r="C14" s="84"/>
      <c r="D14" s="84"/>
      <c r="E14" s="84"/>
      <c r="F14" s="84"/>
      <c r="G14" s="1"/>
    </row>
    <row r="15" spans="1:7" x14ac:dyDescent="0.45">
      <c r="A15" s="1"/>
      <c r="B15" s="90" t="s">
        <v>63</v>
      </c>
      <c r="C15" s="90"/>
      <c r="D15" s="90"/>
      <c r="E15" s="8">
        <v>3271741.824</v>
      </c>
      <c r="F15" s="12" t="s">
        <v>3</v>
      </c>
      <c r="G15" s="1"/>
    </row>
    <row r="16" spans="1:7" x14ac:dyDescent="0.45">
      <c r="A16" s="1"/>
      <c r="B16" s="90" t="s">
        <v>64</v>
      </c>
      <c r="C16" s="90"/>
      <c r="D16" s="90"/>
      <c r="E16" s="8">
        <v>3994931</v>
      </c>
      <c r="F16" s="12" t="s">
        <v>3</v>
      </c>
      <c r="G16" s="1"/>
    </row>
    <row r="17" spans="1:7" x14ac:dyDescent="0.45">
      <c r="A17" s="1"/>
      <c r="B17" s="90" t="s">
        <v>33</v>
      </c>
      <c r="C17" s="90"/>
      <c r="D17" s="90"/>
      <c r="E17" s="8">
        <v>0</v>
      </c>
      <c r="F17" s="12" t="s">
        <v>3</v>
      </c>
      <c r="G17" s="1"/>
    </row>
    <row r="18" spans="1:7" x14ac:dyDescent="0.45">
      <c r="A18" s="1"/>
      <c r="B18" s="85" t="s">
        <v>136</v>
      </c>
      <c r="C18" s="85"/>
      <c r="D18" s="85"/>
      <c r="E18" s="9">
        <f>E15-(E16-E17)</f>
        <v>-723189.17599999998</v>
      </c>
      <c r="F18" s="15" t="s">
        <v>3</v>
      </c>
      <c r="G18" s="1"/>
    </row>
    <row r="19" spans="1:7" x14ac:dyDescent="0.45">
      <c r="A19" s="1"/>
      <c r="B19" s="87"/>
      <c r="C19" s="88"/>
      <c r="D19" s="88"/>
      <c r="E19" s="88"/>
      <c r="F19" s="89"/>
      <c r="G19" s="1"/>
    </row>
    <row r="20" spans="1:7" ht="28.5" customHeight="1" x14ac:dyDescent="0.45">
      <c r="A20" s="1"/>
      <c r="B20" s="71" t="s">
        <v>70</v>
      </c>
      <c r="C20" s="71"/>
      <c r="D20" s="71"/>
      <c r="E20" s="71"/>
      <c r="F20" s="71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4" t="s">
        <v>44</v>
      </c>
      <c r="C22" s="84"/>
      <c r="D22" s="84"/>
      <c r="E22" s="84"/>
      <c r="F22" s="84"/>
      <c r="G22" s="1"/>
    </row>
    <row r="23" spans="1:7" ht="15" customHeight="1" x14ac:dyDescent="0.45">
      <c r="A23" s="1"/>
      <c r="B23" s="90" t="s">
        <v>45</v>
      </c>
      <c r="C23" s="90"/>
      <c r="D23" s="90"/>
      <c r="E23" s="8">
        <v>3691028.5345484144</v>
      </c>
      <c r="F23" s="12" t="s">
        <v>3</v>
      </c>
      <c r="G23" s="1"/>
    </row>
    <row r="24" spans="1:7" ht="15" customHeight="1" x14ac:dyDescent="0.45">
      <c r="A24" s="1"/>
      <c r="B24" s="90" t="s">
        <v>46</v>
      </c>
      <c r="C24" s="90"/>
      <c r="D24" s="90"/>
      <c r="E24" s="8">
        <v>4250970</v>
      </c>
      <c r="F24" s="12" t="s">
        <v>3</v>
      </c>
      <c r="G24" s="1"/>
    </row>
    <row r="25" spans="1:7" ht="15" customHeight="1" x14ac:dyDescent="0.45">
      <c r="A25" s="1"/>
      <c r="B25" s="90" t="s">
        <v>33</v>
      </c>
      <c r="C25" s="90"/>
      <c r="D25" s="90"/>
      <c r="E25" s="8">
        <v>0</v>
      </c>
      <c r="F25" s="12" t="s">
        <v>3</v>
      </c>
      <c r="G25" s="1"/>
    </row>
    <row r="26" spans="1:7" x14ac:dyDescent="0.45">
      <c r="A26" s="1"/>
      <c r="B26" s="85" t="s">
        <v>137</v>
      </c>
      <c r="C26" s="85"/>
      <c r="D26" s="85"/>
      <c r="E26" s="9">
        <f>E23-(E24-E25)</f>
        <v>-559941.46545158559</v>
      </c>
      <c r="F26" s="15" t="s">
        <v>3</v>
      </c>
      <c r="G26" s="1"/>
    </row>
    <row r="27" spans="1:7" x14ac:dyDescent="0.45">
      <c r="A27" s="1"/>
      <c r="B27" s="81"/>
      <c r="C27" s="82"/>
      <c r="D27" s="82"/>
      <c r="E27" s="82"/>
      <c r="F27" s="83"/>
      <c r="G27" s="1"/>
    </row>
    <row r="28" spans="1:7" ht="28.5" customHeight="1" x14ac:dyDescent="0.45">
      <c r="A28" s="1"/>
      <c r="B28" s="71" t="s">
        <v>126</v>
      </c>
      <c r="C28" s="71"/>
      <c r="D28" s="71"/>
      <c r="E28" s="71"/>
      <c r="F28" s="71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4" t="s">
        <v>127</v>
      </c>
      <c r="C30" s="84"/>
      <c r="D30" s="84"/>
      <c r="E30" s="84"/>
      <c r="F30" s="84"/>
      <c r="G30" s="1"/>
    </row>
    <row r="31" spans="1:7" x14ac:dyDescent="0.45">
      <c r="A31" s="1"/>
      <c r="B31" s="90" t="s">
        <v>128</v>
      </c>
      <c r="C31" s="90"/>
      <c r="D31" s="90"/>
      <c r="E31" s="8">
        <v>3566513.9602943808</v>
      </c>
      <c r="F31" s="12" t="s">
        <v>3</v>
      </c>
      <c r="G31" s="1"/>
    </row>
    <row r="32" spans="1:7" x14ac:dyDescent="0.45">
      <c r="A32" s="1"/>
      <c r="B32" s="90" t="s">
        <v>129</v>
      </c>
      <c r="C32" s="90"/>
      <c r="D32" s="90"/>
      <c r="E32" s="8">
        <v>4568803</v>
      </c>
      <c r="F32" s="12" t="s">
        <v>3</v>
      </c>
      <c r="G32" s="1"/>
    </row>
    <row r="33" spans="1:7" x14ac:dyDescent="0.45">
      <c r="A33" s="1"/>
      <c r="B33" s="90" t="s">
        <v>33</v>
      </c>
      <c r="C33" s="90"/>
      <c r="D33" s="90"/>
      <c r="E33" s="8">
        <v>0</v>
      </c>
      <c r="F33" s="12" t="s">
        <v>3</v>
      </c>
      <c r="G33" s="1"/>
    </row>
    <row r="34" spans="1:7" x14ac:dyDescent="0.45">
      <c r="A34" s="1"/>
      <c r="B34" s="85" t="s">
        <v>138</v>
      </c>
      <c r="C34" s="85"/>
      <c r="D34" s="85"/>
      <c r="E34" s="9">
        <f>E31-(E32-E33)</f>
        <v>-1002289.0397056192</v>
      </c>
      <c r="F34" s="15" t="s">
        <v>3</v>
      </c>
      <c r="G34" s="1"/>
    </row>
    <row r="35" spans="1:7" x14ac:dyDescent="0.45">
      <c r="A35" s="1"/>
      <c r="B35" s="81"/>
      <c r="C35" s="82"/>
      <c r="D35" s="82"/>
      <c r="E35" s="82"/>
      <c r="F35" s="83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4" t="s">
        <v>130</v>
      </c>
      <c r="C38" s="84"/>
      <c r="D38" s="84"/>
      <c r="E38" s="84"/>
      <c r="F38" s="84"/>
      <c r="G38" s="1"/>
    </row>
    <row r="39" spans="1:7" x14ac:dyDescent="0.45">
      <c r="A39" s="1"/>
      <c r="B39" s="86" t="s">
        <v>36</v>
      </c>
      <c r="C39" s="86"/>
      <c r="D39" s="86"/>
      <c r="E39" s="8">
        <f>E9</f>
        <v>-694303.64447105501</v>
      </c>
      <c r="F39" s="12" t="s">
        <v>3</v>
      </c>
      <c r="G39" s="1"/>
    </row>
    <row r="40" spans="1:7" x14ac:dyDescent="0.45">
      <c r="A40" s="1"/>
      <c r="B40" s="86" t="s">
        <v>135</v>
      </c>
      <c r="C40" s="86"/>
      <c r="D40" s="86"/>
      <c r="E40" s="8">
        <f>IF(E18+E26+E34&lt;0,E18+E26+E34,0)</f>
        <v>-2285419.6811572048</v>
      </c>
      <c r="F40" s="12" t="s">
        <v>3</v>
      </c>
      <c r="G40" s="1"/>
    </row>
    <row r="41" spans="1:7" x14ac:dyDescent="0.45">
      <c r="A41" s="1"/>
      <c r="B41" s="86" t="s">
        <v>73</v>
      </c>
      <c r="C41" s="86"/>
      <c r="D41" s="86"/>
      <c r="E41" s="8">
        <v>2</v>
      </c>
      <c r="F41" s="12" t="s">
        <v>19</v>
      </c>
      <c r="G41" s="1"/>
    </row>
    <row r="42" spans="1:7" x14ac:dyDescent="0.45">
      <c r="A42" s="1"/>
      <c r="B42" s="85" t="s">
        <v>133</v>
      </c>
      <c r="C42" s="85"/>
      <c r="D42" s="85"/>
      <c r="E42" s="9">
        <f>SUM(E39)/E41</f>
        <v>-347151.82223552751</v>
      </c>
      <c r="F42" s="15" t="s">
        <v>3</v>
      </c>
      <c r="G42" s="1"/>
    </row>
    <row r="43" spans="1:7" x14ac:dyDescent="0.45">
      <c r="A43" s="1"/>
      <c r="B43" s="85" t="s">
        <v>134</v>
      </c>
      <c r="C43" s="85"/>
      <c r="D43" s="85"/>
      <c r="E43" s="9">
        <f>E40/E41</f>
        <v>-1142709.8405786024</v>
      </c>
      <c r="F43" s="15" t="s">
        <v>3</v>
      </c>
      <c r="G43" s="1"/>
    </row>
    <row r="44" spans="1:7" x14ac:dyDescent="0.45">
      <c r="A44" s="1"/>
      <c r="B44" s="84"/>
      <c r="C44" s="84"/>
      <c r="D44" s="84"/>
      <c r="E44" s="84"/>
      <c r="F44" s="84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3" t="s">
        <v>139</v>
      </c>
      <c r="C3" s="63"/>
      <c r="D3" s="63"/>
      <c r="E3" s="63"/>
      <c r="F3" s="63"/>
      <c r="G3" s="63"/>
      <c r="H3" s="63"/>
      <c r="I3" s="1"/>
    </row>
    <row r="4" spans="1:9" ht="15" customHeight="1" x14ac:dyDescent="0.45">
      <c r="A4" s="1"/>
      <c r="B4" s="63"/>
      <c r="C4" s="63"/>
      <c r="D4" s="63"/>
      <c r="E4" s="63"/>
      <c r="F4" s="63"/>
      <c r="G4" s="63"/>
      <c r="H4" s="6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1" t="s">
        <v>117</v>
      </c>
      <c r="C8" s="82"/>
      <c r="D8" s="82"/>
      <c r="E8" s="82"/>
      <c r="F8" s="82"/>
      <c r="G8" s="82"/>
      <c r="H8" s="83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0" t="s">
        <v>2</v>
      </c>
      <c r="F9" s="40" t="s">
        <v>11</v>
      </c>
      <c r="G9" s="40" t="s">
        <v>30</v>
      </c>
      <c r="H9" s="45"/>
      <c r="I9" s="1"/>
    </row>
    <row r="10" spans="1:9" ht="52.9" x14ac:dyDescent="0.45">
      <c r="A10" s="1"/>
      <c r="B10" s="32" t="s">
        <v>157</v>
      </c>
      <c r="C10" s="33" t="s">
        <v>158</v>
      </c>
      <c r="D10" s="8">
        <v>2011595.94</v>
      </c>
      <c r="E10" s="8">
        <f>IFERROR(D10/C10,0)</f>
        <v>201159.59399999998</v>
      </c>
      <c r="F10" s="8">
        <v>13999</v>
      </c>
      <c r="G10" s="8">
        <v>32182</v>
      </c>
      <c r="H10" s="12" t="s">
        <v>3</v>
      </c>
      <c r="I10" s="1"/>
    </row>
    <row r="11" spans="1:9" ht="39.75" x14ac:dyDescent="0.45">
      <c r="A11" s="1"/>
      <c r="B11" s="32" t="s">
        <v>159</v>
      </c>
      <c r="C11" s="33" t="s">
        <v>160</v>
      </c>
      <c r="D11" s="8">
        <v>2654640</v>
      </c>
      <c r="E11" s="8">
        <f t="shared" ref="E11:E12" si="0">IFERROR(D11/C11,0)</f>
        <v>35395.199999999997</v>
      </c>
      <c r="F11" s="8">
        <v>0</v>
      </c>
      <c r="G11" s="8">
        <v>42474</v>
      </c>
      <c r="H11" s="12" t="s">
        <v>3</v>
      </c>
      <c r="I11" s="1"/>
    </row>
    <row r="12" spans="1:9" ht="26.65" x14ac:dyDescent="0.45">
      <c r="A12" s="1"/>
      <c r="B12" s="32" t="s">
        <v>161</v>
      </c>
      <c r="C12" s="33" t="s">
        <v>162</v>
      </c>
      <c r="D12" s="8">
        <v>6735726</v>
      </c>
      <c r="E12" s="8">
        <f t="shared" si="0"/>
        <v>134714.51999999999</v>
      </c>
      <c r="F12" s="8">
        <v>0</v>
      </c>
      <c r="G12" s="8">
        <v>107771</v>
      </c>
      <c r="H12" s="12" t="s">
        <v>3</v>
      </c>
      <c r="I12" s="1"/>
    </row>
    <row r="13" spans="1:9" x14ac:dyDescent="0.45">
      <c r="A13" s="1"/>
      <c r="B13" s="32" t="s">
        <v>163</v>
      </c>
      <c r="C13" s="33" t="s">
        <v>158</v>
      </c>
      <c r="D13" s="8">
        <v>1247014</v>
      </c>
      <c r="E13" s="8">
        <f t="shared" ref="E13:E14" si="1">IFERROR(D13/C13,0)</f>
        <v>124701.4</v>
      </c>
      <c r="F13" s="8">
        <v>0</v>
      </c>
      <c r="G13" s="8">
        <v>19952</v>
      </c>
      <c r="H13" s="12" t="s">
        <v>3</v>
      </c>
      <c r="I13" s="1"/>
    </row>
    <row r="14" spans="1:9" ht="39.75" x14ac:dyDescent="0.45">
      <c r="A14" s="1"/>
      <c r="B14" s="32" t="s">
        <v>164</v>
      </c>
      <c r="C14" s="33" t="s">
        <v>165</v>
      </c>
      <c r="D14" s="8">
        <v>1910231</v>
      </c>
      <c r="E14" s="8">
        <f t="shared" si="1"/>
        <v>63674.366666666669</v>
      </c>
      <c r="F14" s="8">
        <v>0</v>
      </c>
      <c r="G14" s="8">
        <v>30563</v>
      </c>
      <c r="H14" s="12" t="s">
        <v>3</v>
      </c>
      <c r="I14" s="1"/>
    </row>
    <row r="15" spans="1:9" x14ac:dyDescent="0.45">
      <c r="A15" s="1"/>
      <c r="B15" s="81" t="s">
        <v>118</v>
      </c>
      <c r="C15" s="82"/>
      <c r="D15" s="83"/>
      <c r="E15" s="10">
        <f>SUM(E10:E14)</f>
        <v>559645.08066666673</v>
      </c>
      <c r="F15" s="10">
        <f>SUM(F10:F14)</f>
        <v>13999</v>
      </c>
      <c r="G15" s="10">
        <f>SUM(G10:G14)</f>
        <v>232942</v>
      </c>
      <c r="H15" s="11" t="s">
        <v>3</v>
      </c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5:D15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2020-10-13T10:30:04Z</dcterms:modified>
</cp:coreProperties>
</file>