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HOFOR Vand Rødovre AS (V092)\ØR2024\"/>
    </mc:Choice>
  </mc:AlternateContent>
  <xr:revisionPtr revIDLastSave="0" documentId="13_ncr:1_{648384CA-0EBE-43D5-9681-5E843718379E}"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29" i="2" l="1"/>
  <c r="E23" i="42"/>
  <c r="E31" i="42" s="1"/>
  <c r="E33" i="42" s="1"/>
  <c r="C17" i="22" s="1"/>
  <c r="C17" i="15" l="1"/>
  <c r="E27" i="42"/>
  <c r="C8" i="2"/>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<sst xmlns="http://schemas.openxmlformats.org/spreadsheetml/2006/main" count="552" uniqueCount="265">
  <si>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</si>
  <si>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</si>
  <si>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</si>
  <si>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</si>
  <si>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</si>
  <si>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</si>
  <si>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</si>
  <si>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</si>
  <si>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</si>
  <si>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</si>
  <si>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</si>
  <si>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</si>
  <si>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</si>
  <si>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</si>
  <si>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</si>
  <si>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</si>
  <si>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</si>
  <si>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</si>
  <si>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</si>
  <si>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</si>
  <si>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</si>
  <si>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</si>
  <si>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</si>
  <si>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</si>
  <si>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</si>
  <si>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</si>
  <si>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</si>
  <si>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</si>
  <si>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</si>
  <si>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</si>
  <si>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</si>
  <si>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</si>
  <si>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</si>
  <si>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</si>
  <si>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</si>
  <si>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</si>
  <si>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</si>
  <si>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</si>
  <si>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</si>
  <si>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</si>
  <si>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</si>
  <si>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</si>
  <si>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</si>
  <si>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</si>
  <si>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</si>
  <si>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</si>
  <si>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</si>
  <si>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</si>
  <si>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</si>
  <si>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</si>
  <si>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</si>
  <si>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</si>
  <si>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</si>
  <si>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</si>
  <si>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</si>
  <si>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</si>
  <si>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</si>
  <si>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</si>
  <si>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</si>
  <si>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</si>
  <si>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</si>
  <si>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</si>
  <si>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</si>
  <si>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</si>
  <si>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</si>
  <si>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</si>
  <si>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</si>
  <si>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</si>
  <si>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</si>
  <si>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</si>
  <si>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</si>
  <si>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</si>
  <si>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</si>
  <si>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</si>
  <si>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</si>
  <si>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</si>
  <si>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</si>
  <si>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</si>
  <si>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</si>
  <si>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</si>
  <si>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</si>
  <si>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</si>
  <si>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</si>
  <si>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</si>
  <si>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</si>
  <si>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</si>
  <si>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</si>
  <si>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</si>
  <si>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</si>
  <si>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</si>
  <si>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</si>
  <si>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</si>
  <si>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</si>
  <si>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</si>
  <si>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</si>
  <si>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</si>
  <si>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</si>
  <si>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</si>
  <si>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</si>
  <si>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</si>
  <si>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</si>
  <si>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</si>
  <si>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</si>
  <si>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</si>
  <si>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</si>
  <si>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</si>
  <si>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</si>
  <si>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</si>
  <si>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</si>
  <si>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</si>
  <si>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</si>
  <si>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</si>
  <si>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</si>
  <si>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</si>
  <si>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</si>
  <si>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</si>
  <si>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</si>
  <si>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</si>
  <si>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</si>
  <si>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</si>
  <si>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</si>
  <si>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</si>
  <si>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</si>
  <si>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</si>
  <si>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</si>
  <si>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</si>
  <si>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</si>
  <si>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</si>
  <si>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</si>
  <si>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</si>
  <si>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</si>
  <si>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</si>
  <si>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</si>
  <si>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</si>
  <si>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</si>
  <si>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</si>
  <si>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</si>
  <si>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</si>
  <si>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</si>
  <si>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</si>
  <si>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</si>
  <si>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</si>
  <si>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</si>
  <si>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</si>
  <si>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</si>
  <si>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</si>
  <si>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</si>
  <si>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</si>
  <si>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</si>
  <si>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</si>
  <si>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</si>
  <si>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</si>
  <si>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</si>
  <si>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</si>
  <si>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</si>
  <si>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</si>
  <si>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</si>
  <si>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</si>
  <si>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</si>
  <si>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</si>
  <si>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</si>
  <si>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</si>
  <si>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</si>
  <si>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</si>
  <si>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</si>
  <si>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</si>
  <si>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</si>
  <si>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</si>
  <si>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</si>
  <si>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</si>
  <si>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</si>
  <si>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</si>
  <si>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</si>
  <si>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</si>
  <si>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</si>
  <si>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</si>
  <si>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</si>
  <si>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</si>
  <si>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</si>
  <si>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</si>
  <si>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</si>
  <si>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</si>
  <si>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</si>
  <si>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</si>
  <si>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</si>
  <si>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</si>
  <si>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</si>
  <si>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</si>
  <si>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</si>
  <si>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</si>
  <si>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</si>
  <si>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</si>
  <si>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</si>
  <si>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</si>
  <si>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</si>
  <si>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</si>
  <si>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</si>
  <si>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</si>
  <si>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</si>
  <si>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</si>
  <si>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</si>
  <si>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</si>
  <si>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</si>
  <si>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</si>
  <si>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</si>
  <si>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</si>
  <si>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</si>
  <si>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</si>
  <si>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</si>
  <si>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</si>
  <si>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</si>
  <si>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</si>
  <si>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</si>
  <si>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</si>
  <si>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</si>
  <si>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</si>
  <si>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</si>
  <si>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</si>
  <si>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</si>
  <si>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</si>
  <si>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</si>
  <si>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</si>
  <si>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</si>
  <si>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</si>
  <si>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</si>
  <si>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</si>
  <si>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</si>
  <si>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</si>
  <si>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</si>
  <si>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</si>
  <si>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</si>
  <si>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</si>
  <si>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</si>
  <si>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</si>
  <si>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</si>
  <si>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</si>
  <si>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</si>
  <si>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</si>
  <si>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</si>
  <si>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</si>
  <si>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</si>
  <si>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</si>
  <si>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</si>
  <si>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</si>
  <si>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</si>
  <si>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Køb af ydelser og produkter fra andre vandselskaber reguleret af vandsektorloven</t>
  </si>
  <si>
    <t>Ejendomsskat</t>
  </si>
  <si>
    <t>Tjenestemandspensioner</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</si>
  <si>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</si>
  <si>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</si>
  <si>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</si>
  <si>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</si>
  <si>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</si>
  <si>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</si>
  <si>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</si>
  <si>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</si>
  <si>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</si>
  <si>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</si>
  <si>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</si>
  <si>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</si>
  <si>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</si>
  <si>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Forceret ledningsrenovering</t>
  </si>
  <si>
    <t>Sektionering</t>
  </si>
  <si>
    <t>Øget antal forbrugere</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</si>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</sst>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0" fontId="8" fillId="8" borderId="1" xfId="1" applyNumberFormat="1" applyFont="1" applyFill="1" applyBorder="1" applyProtection="1"/>
    <xf numFmtId="0" fontId="8" fillId="8" borderId="1" xfId="0" applyNumberFormat="1" applyFont="1" applyFill="1" applyBorder="1" applyProtection="1"/>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0" fontId="8" fillId="0" borderId="0" xfId="0" applyNumberFormat="1" applyFont="1" applyFill="1" applyBorder="1" applyProtection="1"/>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 val="Ark3"/>
    </sheetNames>
    <sheetDataSet>
      <sheetData sheetId="0"/>
      <sheetData sheetId="1">
        <row r="1">
          <cell r="A1" t="str">
            <v>ØR 2024-2027 samt statusmeddelelser</v>
          </cell>
        </row>
      </sheetData>
      <sheetData sheetId="2">
        <row r="1">
          <cell r="A1" t="str">
            <v>ØR 2023-2026 samt statusmeddelelser</v>
          </cell>
        </row>
      </sheetData>
      <sheetData sheetId="3">
        <row r="1">
          <cell r="A1" t="str">
            <v>ØR 2022-2025 samt statusmeddelelser</v>
          </cell>
        </row>
      </sheetData>
      <sheetData sheetId="4">
        <row r="3">
          <cell r="A3" t="str">
            <v>S016</v>
          </cell>
        </row>
      </sheetData>
      <sheetData sheetId="5">
        <row r="3">
          <cell r="A3" t="str">
            <v>S016</v>
          </cell>
        </row>
      </sheetData>
      <sheetData sheetId="6"/>
      <sheetData sheetId="7"/>
      <sheetData sheetId="8"/>
      <sheetData sheetId="9">
        <row r="5">
          <cell r="C5">
            <v>1.0168999999999999</v>
          </cell>
        </row>
      </sheetData>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3" t="s">
        <v>4</v>
      </c>
      <c r="E6" s="93"/>
      <c r="F6" s="93"/>
      <c r="G6" s="93"/>
      <c r="H6" s="3"/>
      <c r="I6" s="1"/>
    </row>
    <row r="7" spans="1:9" ht="15" customHeight="1" x14ac:dyDescent="0.25">
      <c r="A7" s="1"/>
      <c r="B7" s="1"/>
      <c r="C7" s="3"/>
      <c r="D7" s="93"/>
      <c r="E7" s="93"/>
      <c r="F7" s="93"/>
      <c r="G7" s="93"/>
      <c r="H7" s="3"/>
      <c r="I7" s="1"/>
    </row>
    <row r="8" spans="1:9" ht="15.75" x14ac:dyDescent="0.25">
      <c r="A8" s="1"/>
      <c r="B8" s="1"/>
      <c r="C8" s="4"/>
      <c r="D8" s="95" t="s">
        <v>235</v>
      </c>
      <c r="E8" s="95"/>
      <c r="F8" s="95"/>
      <c r="G8" s="95"/>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4" t="s">
        <v>5</v>
      </c>
      <c r="E11" s="94"/>
      <c r="F11" s="94"/>
      <c r="G11" s="94"/>
      <c r="H11" s="5"/>
      <c r="I11" s="1"/>
    </row>
    <row r="12" spans="1:9" x14ac:dyDescent="0.25">
      <c r="A12" s="1"/>
      <c r="B12" s="1"/>
      <c r="C12" s="1"/>
      <c r="D12" s="1"/>
      <c r="E12" s="1"/>
      <c r="F12" s="1"/>
      <c r="G12" s="1"/>
      <c r="H12" s="1"/>
      <c r="I12" s="1"/>
    </row>
    <row r="13" spans="1:9" x14ac:dyDescent="0.25">
      <c r="A13" s="1"/>
      <c r="B13" s="1"/>
      <c r="C13" s="6" t="s">
        <v>6</v>
      </c>
      <c r="D13" s="90" t="s">
        <v>162</v>
      </c>
      <c r="E13" s="91"/>
      <c r="F13" s="91"/>
      <c r="G13" s="92"/>
      <c r="H13" s="1"/>
      <c r="I13" s="1"/>
    </row>
    <row r="14" spans="1:9" x14ac:dyDescent="0.25">
      <c r="A14" s="1"/>
      <c r="B14" s="1"/>
      <c r="C14" s="6" t="s">
        <v>14</v>
      </c>
      <c r="D14" s="90" t="s">
        <v>197</v>
      </c>
      <c r="E14" s="91"/>
      <c r="F14" s="91"/>
      <c r="G14" s="92"/>
      <c r="H14" s="1"/>
      <c r="I14" s="1"/>
    </row>
    <row r="15" spans="1:9" x14ac:dyDescent="0.25">
      <c r="A15" s="1"/>
      <c r="B15" s="1"/>
      <c r="C15" s="6" t="s">
        <v>30</v>
      </c>
      <c r="D15" s="90" t="s">
        <v>141</v>
      </c>
      <c r="E15" s="91"/>
      <c r="F15" s="91"/>
      <c r="G15" s="92"/>
      <c r="H15" s="1"/>
      <c r="I15" s="1"/>
    </row>
    <row r="16" spans="1:9" x14ac:dyDescent="0.25">
      <c r="A16" s="1"/>
      <c r="B16" s="1"/>
      <c r="C16" s="6" t="s">
        <v>31</v>
      </c>
      <c r="D16" s="90" t="s">
        <v>194</v>
      </c>
      <c r="E16" s="91"/>
      <c r="F16" s="91"/>
      <c r="G16" s="92"/>
      <c r="H16" s="1"/>
      <c r="I16" s="1"/>
    </row>
    <row r="17" spans="1:9" x14ac:dyDescent="0.25">
      <c r="A17" s="1"/>
      <c r="B17" s="1"/>
      <c r="C17" s="6" t="s">
        <v>102</v>
      </c>
      <c r="D17" s="90" t="s">
        <v>195</v>
      </c>
      <c r="E17" s="91"/>
      <c r="F17" s="91"/>
      <c r="G17" s="92"/>
      <c r="H17" s="1"/>
      <c r="I17" s="1"/>
    </row>
    <row r="18" spans="1:9" x14ac:dyDescent="0.25">
      <c r="A18" s="1"/>
      <c r="B18" s="1"/>
      <c r="C18" s="6" t="s">
        <v>86</v>
      </c>
      <c r="D18" s="96" t="s">
        <v>79</v>
      </c>
      <c r="E18" s="97"/>
      <c r="F18" s="97"/>
      <c r="G18" s="98"/>
      <c r="H18" s="1"/>
      <c r="I18" s="1"/>
    </row>
    <row r="19" spans="1:9" x14ac:dyDescent="0.25">
      <c r="A19" s="1"/>
      <c r="B19" s="1"/>
      <c r="C19" s="6" t="s">
        <v>87</v>
      </c>
      <c r="D19" s="96" t="s">
        <v>80</v>
      </c>
      <c r="E19" s="97"/>
      <c r="F19" s="97"/>
      <c r="G19" s="98"/>
      <c r="H19" s="1"/>
      <c r="I19" s="1"/>
    </row>
    <row r="20" spans="1:9" x14ac:dyDescent="0.25">
      <c r="A20" s="1"/>
      <c r="B20" s="1"/>
      <c r="C20" s="6" t="s">
        <v>7</v>
      </c>
      <c r="D20" s="96" t="s">
        <v>9</v>
      </c>
      <c r="E20" s="97"/>
      <c r="F20" s="97"/>
      <c r="G20" s="98"/>
      <c r="H20" s="1"/>
      <c r="I20" s="1"/>
    </row>
    <row r="21" spans="1:9" x14ac:dyDescent="0.25">
      <c r="A21" s="1"/>
      <c r="B21" s="1"/>
      <c r="C21" s="6" t="s">
        <v>88</v>
      </c>
      <c r="D21" s="87" t="s">
        <v>11</v>
      </c>
      <c r="E21" s="88"/>
      <c r="F21" s="88"/>
      <c r="G21" s="89"/>
      <c r="H21" s="1"/>
      <c r="I21" s="1"/>
    </row>
    <row r="22" spans="1:9" x14ac:dyDescent="0.25">
      <c r="A22" s="1"/>
      <c r="B22" s="1"/>
      <c r="C22" s="6" t="s">
        <v>73</v>
      </c>
      <c r="D22" s="81" t="s">
        <v>196</v>
      </c>
      <c r="E22" s="82"/>
      <c r="F22" s="82"/>
      <c r="G22" s="83"/>
      <c r="H22" s="1"/>
      <c r="I22" s="1"/>
    </row>
    <row r="23" spans="1:9" x14ac:dyDescent="0.25">
      <c r="A23" s="1"/>
      <c r="B23" s="1"/>
      <c r="C23" s="6" t="s">
        <v>8</v>
      </c>
      <c r="D23" s="81" t="s">
        <v>176</v>
      </c>
      <c r="E23" s="82"/>
      <c r="F23" s="82"/>
      <c r="G23" s="83"/>
      <c r="H23" s="1"/>
      <c r="I23" s="1"/>
    </row>
    <row r="24" spans="1:9" x14ac:dyDescent="0.25">
      <c r="A24" s="1"/>
      <c r="B24" s="1"/>
      <c r="C24" s="6" t="s">
        <v>172</v>
      </c>
      <c r="D24" s="81" t="s">
        <v>163</v>
      </c>
      <c r="E24" s="82"/>
      <c r="F24" s="82"/>
      <c r="G24" s="83"/>
      <c r="H24" s="1"/>
      <c r="I24" s="1"/>
    </row>
    <row r="25" spans="1:9" x14ac:dyDescent="0.25">
      <c r="A25" s="1"/>
      <c r="B25" s="1"/>
      <c r="C25" s="6" t="s">
        <v>173</v>
      </c>
      <c r="D25" s="81" t="s">
        <v>74</v>
      </c>
      <c r="E25" s="82"/>
      <c r="F25" s="82"/>
      <c r="G25" s="83"/>
      <c r="H25" s="1"/>
      <c r="I25" s="1"/>
    </row>
    <row r="26" spans="1:9" x14ac:dyDescent="0.25">
      <c r="A26" s="1"/>
      <c r="B26" s="1"/>
      <c r="C26" s="6" t="s">
        <v>174</v>
      </c>
      <c r="D26" s="81" t="s">
        <v>75</v>
      </c>
      <c r="E26" s="82"/>
      <c r="F26" s="82"/>
      <c r="G26" s="83"/>
      <c r="H26" s="1"/>
      <c r="I26" s="1"/>
    </row>
    <row r="27" spans="1:9" x14ac:dyDescent="0.25">
      <c r="A27" s="1"/>
      <c r="B27" s="1"/>
      <c r="C27" s="6" t="s">
        <v>89</v>
      </c>
      <c r="D27" s="81" t="s">
        <v>103</v>
      </c>
      <c r="E27" s="82"/>
      <c r="F27" s="82"/>
      <c r="G27" s="83"/>
      <c r="H27" s="1"/>
      <c r="I27" s="1"/>
    </row>
    <row r="28" spans="1:9" x14ac:dyDescent="0.25">
      <c r="A28" s="1"/>
      <c r="B28" s="1"/>
      <c r="C28" s="6" t="s">
        <v>83</v>
      </c>
      <c r="D28" s="81" t="s">
        <v>32</v>
      </c>
      <c r="E28" s="82"/>
      <c r="F28" s="82"/>
      <c r="G28" s="83"/>
      <c r="H28" s="1"/>
      <c r="I28" s="1"/>
    </row>
    <row r="29" spans="1:9" x14ac:dyDescent="0.25">
      <c r="A29" s="1"/>
      <c r="B29" s="1"/>
      <c r="C29" s="6" t="s">
        <v>175</v>
      </c>
      <c r="D29" s="84" t="s">
        <v>84</v>
      </c>
      <c r="E29" s="85"/>
      <c r="F29" s="85"/>
      <c r="G29" s="86"/>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A/Ic5h8cAZPUF0GaOm9T5mOk1e0ete/fx/yKxgWclJBI1OMNGKEvTzrB/iFurO7K9fiIRTEoTQHz+9itO0JMXg==" saltValue="TJcFgi1XcvbbOUKikGYbLw=="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9" t="s">
        <v>92</v>
      </c>
      <c r="C3" s="99"/>
      <c r="D3" s="99"/>
      <c r="E3" s="1"/>
      <c r="F3" s="1"/>
    </row>
    <row r="4" spans="1:6" ht="15" customHeight="1" x14ac:dyDescent="0.25">
      <c r="A4" s="1"/>
      <c r="B4" s="99"/>
      <c r="C4" s="99"/>
      <c r="D4" s="9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3" t="s">
        <v>226</v>
      </c>
      <c r="C8" s="104"/>
      <c r="D8" s="105"/>
      <c r="E8" s="1"/>
      <c r="F8" s="1"/>
    </row>
    <row r="9" spans="1:6" ht="15" customHeight="1" x14ac:dyDescent="0.25">
      <c r="A9" s="1"/>
      <c r="B9" s="32" t="s">
        <v>28</v>
      </c>
      <c r="C9" s="11" t="s">
        <v>212</v>
      </c>
      <c r="D9" s="11"/>
      <c r="E9" s="1"/>
      <c r="F9" s="1"/>
    </row>
    <row r="10" spans="1:6" ht="15" customHeight="1" x14ac:dyDescent="0.25">
      <c r="A10" s="1"/>
      <c r="B10" s="70" t="s">
        <v>243</v>
      </c>
      <c r="C10" s="9">
        <v>11204056</v>
      </c>
      <c r="D10" s="14" t="s">
        <v>3</v>
      </c>
      <c r="E10" s="1"/>
      <c r="F10" s="1"/>
    </row>
    <row r="11" spans="1:6" x14ac:dyDescent="0.25">
      <c r="A11" s="1"/>
      <c r="B11" s="70" t="s">
        <v>244</v>
      </c>
      <c r="C11" s="9">
        <v>94014</v>
      </c>
      <c r="D11" s="14" t="s">
        <v>3</v>
      </c>
      <c r="E11" s="1"/>
      <c r="F11" s="1"/>
    </row>
    <row r="12" spans="1:6" ht="26.25" x14ac:dyDescent="0.25">
      <c r="A12" s="1"/>
      <c r="B12" s="54" t="s">
        <v>245</v>
      </c>
      <c r="C12" s="9">
        <v>5396267</v>
      </c>
      <c r="D12" s="14" t="s">
        <v>3</v>
      </c>
      <c r="E12" s="1"/>
      <c r="F12" s="1"/>
    </row>
    <row r="13" spans="1:6" x14ac:dyDescent="0.25">
      <c r="A13" s="1"/>
      <c r="B13" s="70" t="s">
        <v>246</v>
      </c>
      <c r="C13" s="9">
        <v>20696</v>
      </c>
      <c r="D13" s="14" t="s">
        <v>3</v>
      </c>
      <c r="E13" s="1"/>
      <c r="F13" s="1"/>
    </row>
    <row r="14" spans="1:6" x14ac:dyDescent="0.25">
      <c r="A14" s="1"/>
      <c r="B14" s="70" t="s">
        <v>247</v>
      </c>
      <c r="C14" s="9">
        <v>380000</v>
      </c>
      <c r="D14" s="14" t="s">
        <v>3</v>
      </c>
      <c r="E14" s="1"/>
      <c r="F14" s="1"/>
    </row>
    <row r="15" spans="1:6" x14ac:dyDescent="0.25">
      <c r="A15" s="1"/>
      <c r="B15" s="70"/>
      <c r="C15" s="9"/>
      <c r="D15" s="14" t="s">
        <v>3</v>
      </c>
      <c r="E15" s="1"/>
      <c r="F15" s="1"/>
    </row>
    <row r="16" spans="1:6" x14ac:dyDescent="0.25">
      <c r="A16" s="1"/>
      <c r="B16" s="70"/>
      <c r="C16" s="9"/>
      <c r="D16" s="14" t="s">
        <v>3</v>
      </c>
      <c r="E16" s="1"/>
      <c r="F16" s="1"/>
    </row>
    <row r="17" spans="1:6" x14ac:dyDescent="0.25">
      <c r="A17" s="1"/>
      <c r="B17" s="70"/>
      <c r="C17" s="9"/>
      <c r="D17" s="14" t="s">
        <v>3</v>
      </c>
      <c r="E17" s="1"/>
      <c r="F17" s="1"/>
    </row>
    <row r="18" spans="1:6" x14ac:dyDescent="0.25">
      <c r="A18" s="1"/>
      <c r="B18" s="70"/>
      <c r="C18" s="9"/>
      <c r="D18" s="14" t="s">
        <v>3</v>
      </c>
      <c r="E18" s="1"/>
      <c r="F18" s="1"/>
    </row>
    <row r="19" spans="1:6" x14ac:dyDescent="0.25">
      <c r="A19" s="1"/>
      <c r="B19" s="51" t="s">
        <v>213</v>
      </c>
      <c r="C19" s="12">
        <f>SUM(C10:C18)</f>
        <v>17095033</v>
      </c>
      <c r="D19" s="13" t="s">
        <v>3</v>
      </c>
      <c r="E19" s="1"/>
      <c r="F19" s="1"/>
    </row>
    <row r="20" spans="1:6" x14ac:dyDescent="0.25">
      <c r="A20" s="1"/>
      <c r="B20" s="51" t="s">
        <v>214</v>
      </c>
      <c r="C20" s="12">
        <f>C19*(1+'Fane 13. Nøgletal'!C16)^2</f>
        <v>19969197.649045117</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sheetData>
  <sheetProtection algorithmName="SHA-512" hashValue="ETjTifLzmd+5/PiBDwa6gx0AayOVqqktFTZXj0bTHZidqQb444oOxW4Ecxtk4rMUjbs0HoiTQxD1FxemR0wqZA==" saltValue="eEF5+zgMPSmBQusNE5JvS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0D460-6C00-45E9-B951-79D1D85123FA}">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2" t="s">
        <v>227</v>
      </c>
      <c r="C3" s="102"/>
      <c r="D3" s="102"/>
      <c r="E3" s="102"/>
      <c r="F3" s="102"/>
      <c r="G3" s="1"/>
    </row>
    <row r="4" spans="1:7" ht="15" customHeight="1" x14ac:dyDescent="0.25">
      <c r="A4" s="1"/>
      <c r="B4" s="102"/>
      <c r="C4" s="102"/>
      <c r="D4" s="102"/>
      <c r="E4" s="102"/>
      <c r="F4" s="102"/>
      <c r="G4" s="1"/>
    </row>
    <row r="5" spans="1:7" ht="15" customHeight="1" x14ac:dyDescent="0.25">
      <c r="A5" s="1"/>
      <c r="B5" s="66"/>
      <c r="C5" s="66"/>
      <c r="D5" s="66"/>
      <c r="E5" s="66"/>
      <c r="F5" s="66"/>
      <c r="G5" s="1"/>
    </row>
    <row r="6" spans="1:7" ht="15" customHeight="1" x14ac:dyDescent="0.25">
      <c r="A6" s="1"/>
      <c r="B6" s="1"/>
      <c r="C6" s="60"/>
      <c r="D6" s="61"/>
      <c r="E6" s="66"/>
      <c r="F6" s="66"/>
      <c r="G6" s="1"/>
    </row>
    <row r="7" spans="1:7" x14ac:dyDescent="0.25">
      <c r="A7" s="1"/>
      <c r="B7" s="1"/>
      <c r="C7" s="1"/>
      <c r="D7" s="1"/>
      <c r="E7" s="62"/>
      <c r="F7" s="1"/>
      <c r="G7" s="1"/>
    </row>
    <row r="8" spans="1:7" x14ac:dyDescent="0.25">
      <c r="A8" s="1"/>
      <c r="B8" s="103" t="s">
        <v>248</v>
      </c>
      <c r="C8" s="104"/>
      <c r="D8" s="104"/>
      <c r="E8" s="104"/>
      <c r="F8" s="105"/>
      <c r="G8" s="1"/>
    </row>
    <row r="9" spans="1:7" x14ac:dyDescent="0.25">
      <c r="A9" s="1"/>
      <c r="B9" s="106" t="s">
        <v>249</v>
      </c>
      <c r="C9" s="107"/>
      <c r="D9" s="108"/>
      <c r="E9" s="28">
        <v>-1675299</v>
      </c>
      <c r="F9" s="14" t="s">
        <v>3</v>
      </c>
      <c r="G9" s="1"/>
    </row>
    <row r="10" spans="1:7" x14ac:dyDescent="0.25">
      <c r="A10" s="1"/>
      <c r="B10" s="51"/>
      <c r="C10" s="52"/>
      <c r="D10" s="52"/>
      <c r="E10" s="52"/>
      <c r="F10" s="19"/>
      <c r="G10" s="1"/>
    </row>
    <row r="11" spans="1:7" ht="53.25" customHeight="1" x14ac:dyDescent="0.25">
      <c r="A11" s="1"/>
      <c r="B11" s="128" t="s">
        <v>250</v>
      </c>
      <c r="C11" s="129"/>
      <c r="D11" s="129"/>
      <c r="E11" s="129"/>
      <c r="F11" s="130"/>
      <c r="G11" s="1"/>
    </row>
    <row r="12" spans="1:7" x14ac:dyDescent="0.25">
      <c r="A12" s="1"/>
      <c r="B12" s="1"/>
      <c r="C12" s="1"/>
      <c r="D12" s="1"/>
      <c r="E12" s="1"/>
      <c r="F12" s="1"/>
      <c r="G12" s="1"/>
    </row>
    <row r="13" spans="1:7" x14ac:dyDescent="0.25">
      <c r="A13" s="1"/>
      <c r="B13" s="103" t="s">
        <v>140</v>
      </c>
      <c r="C13" s="104"/>
      <c r="D13" s="104"/>
      <c r="E13" s="104"/>
      <c r="F13" s="105"/>
      <c r="G13" s="1"/>
    </row>
    <row r="14" spans="1:7" x14ac:dyDescent="0.25">
      <c r="A14" s="1"/>
      <c r="B14" s="106" t="s">
        <v>251</v>
      </c>
      <c r="C14" s="107"/>
      <c r="D14" s="108"/>
      <c r="E14" s="9">
        <v>-837649</v>
      </c>
      <c r="F14" s="14" t="s">
        <v>3</v>
      </c>
      <c r="G14" s="1"/>
    </row>
    <row r="15" spans="1:7" x14ac:dyDescent="0.25">
      <c r="A15" s="1"/>
      <c r="B15" s="106" t="s">
        <v>252</v>
      </c>
      <c r="C15" s="107"/>
      <c r="D15" s="108"/>
      <c r="E15" s="9">
        <v>-837649</v>
      </c>
      <c r="F15" s="14" t="s">
        <v>3</v>
      </c>
      <c r="G15" s="1"/>
    </row>
    <row r="16" spans="1:7" x14ac:dyDescent="0.25">
      <c r="A16" s="1"/>
      <c r="B16" s="51"/>
      <c r="C16" s="52"/>
      <c r="D16" s="52"/>
      <c r="E16" s="52"/>
      <c r="F16" s="19"/>
      <c r="G16" s="1"/>
    </row>
    <row r="17" spans="1:7" ht="32.25" customHeight="1" x14ac:dyDescent="0.25">
      <c r="A17" s="1"/>
      <c r="B17" s="128" t="s">
        <v>253</v>
      </c>
      <c r="C17" s="129"/>
      <c r="D17" s="129"/>
      <c r="E17" s="129"/>
      <c r="F17" s="130"/>
      <c r="G17" s="1"/>
    </row>
    <row r="18" spans="1:7" x14ac:dyDescent="0.25">
      <c r="A18" s="1"/>
      <c r="B18" s="1"/>
      <c r="C18" s="1"/>
      <c r="D18" s="1"/>
      <c r="E18" s="1"/>
      <c r="F18" s="1"/>
      <c r="G18" s="1"/>
    </row>
    <row r="19" spans="1:7" x14ac:dyDescent="0.25">
      <c r="A19" s="1"/>
      <c r="B19" s="71" t="s">
        <v>254</v>
      </c>
      <c r="C19" s="72"/>
      <c r="D19" s="72"/>
      <c r="E19" s="72"/>
      <c r="F19" s="73"/>
      <c r="G19" s="1"/>
    </row>
    <row r="20" spans="1:7" x14ac:dyDescent="0.25">
      <c r="A20" s="1"/>
      <c r="B20" s="67" t="s">
        <v>255</v>
      </c>
      <c r="C20" s="68"/>
      <c r="D20" s="69"/>
      <c r="E20" s="9">
        <v>30275631</v>
      </c>
      <c r="F20" s="14" t="s">
        <v>3</v>
      </c>
      <c r="G20" s="1"/>
    </row>
    <row r="21" spans="1:7" x14ac:dyDescent="0.25">
      <c r="A21" s="1"/>
      <c r="B21" s="67" t="s">
        <v>256</v>
      </c>
      <c r="C21" s="68"/>
      <c r="D21" s="69"/>
      <c r="E21" s="9">
        <v>30897693</v>
      </c>
      <c r="F21" s="14" t="s">
        <v>3</v>
      </c>
      <c r="G21" s="1"/>
    </row>
    <row r="22" spans="1:7" x14ac:dyDescent="0.25">
      <c r="A22" s="1"/>
      <c r="B22" s="67" t="s">
        <v>29</v>
      </c>
      <c r="C22" s="68"/>
      <c r="D22" s="69"/>
      <c r="E22" s="9">
        <v>0</v>
      </c>
      <c r="F22" s="14" t="s">
        <v>3</v>
      </c>
      <c r="G22" s="1"/>
    </row>
    <row r="23" spans="1:7" x14ac:dyDescent="0.25">
      <c r="A23" s="1"/>
      <c r="B23" s="75" t="s">
        <v>257</v>
      </c>
      <c r="C23" s="76"/>
      <c r="D23" s="77"/>
      <c r="E23" s="10">
        <f>E20-(E21-E22)</f>
        <v>-622062</v>
      </c>
      <c r="F23" s="17" t="s">
        <v>3</v>
      </c>
      <c r="G23" s="1"/>
    </row>
    <row r="24" spans="1:7" x14ac:dyDescent="0.25">
      <c r="A24" s="1"/>
      <c r="B24" s="51"/>
      <c r="C24" s="52"/>
      <c r="D24" s="52"/>
      <c r="E24" s="52"/>
      <c r="F24" s="19"/>
      <c r="G24" s="1"/>
    </row>
    <row r="25" spans="1:7" x14ac:dyDescent="0.25">
      <c r="A25" s="1"/>
      <c r="B25" s="1"/>
      <c r="C25" s="1"/>
      <c r="D25" s="1"/>
      <c r="E25" s="1"/>
      <c r="F25" s="1"/>
      <c r="G25" s="1"/>
    </row>
    <row r="26" spans="1:7" x14ac:dyDescent="0.25">
      <c r="A26" s="1"/>
      <c r="B26" s="103" t="s">
        <v>258</v>
      </c>
      <c r="C26" s="104"/>
      <c r="D26" s="104"/>
      <c r="E26" s="104"/>
      <c r="F26" s="105"/>
      <c r="G26" s="1"/>
    </row>
    <row r="27" spans="1:7" x14ac:dyDescent="0.25">
      <c r="A27" s="1"/>
      <c r="B27" s="131" t="s">
        <v>259</v>
      </c>
      <c r="C27" s="132"/>
      <c r="D27" s="133"/>
      <c r="E27" s="63">
        <f>IF(AND(E15&lt;0,E23&gt;0,ABS(SUM(E14:E15))&lt;E23),ABS(E14),IF(AND(E15&lt;0,E23&gt;0,ABS(SUM(E14:E15))&gt;E23),SUM(E14,E23),0))</f>
        <v>0</v>
      </c>
      <c r="F27" s="17" t="s">
        <v>3</v>
      </c>
      <c r="G27" s="1"/>
    </row>
    <row r="28" spans="1:7" x14ac:dyDescent="0.25">
      <c r="A28" s="1"/>
      <c r="B28" s="103"/>
      <c r="C28" s="104"/>
      <c r="D28" s="104"/>
      <c r="E28" s="104"/>
      <c r="F28" s="105"/>
      <c r="G28" s="1"/>
    </row>
    <row r="29" spans="1:7" x14ac:dyDescent="0.25">
      <c r="A29" s="1"/>
      <c r="B29" s="1"/>
      <c r="C29" s="1"/>
      <c r="D29" s="1"/>
      <c r="E29" s="1"/>
      <c r="F29" s="1"/>
      <c r="G29" s="1"/>
    </row>
    <row r="30" spans="1:7" x14ac:dyDescent="0.25">
      <c r="A30" s="1"/>
      <c r="B30" s="103" t="s">
        <v>260</v>
      </c>
      <c r="C30" s="104"/>
      <c r="D30" s="104"/>
      <c r="E30" s="104"/>
      <c r="F30" s="105"/>
      <c r="G30" s="1"/>
    </row>
    <row r="31" spans="1:7" x14ac:dyDescent="0.25">
      <c r="A31" s="1"/>
      <c r="B31" s="121" t="s">
        <v>117</v>
      </c>
      <c r="C31" s="122"/>
      <c r="D31" s="123"/>
      <c r="E31" s="64">
        <f>IF(AND(E9&gt;0,(E9+E23)&gt;0),0,IF(AND(E9&gt;0,(E9+E23)&lt;0),(E9+E23),IF(AND(E9&lt;0,E23&lt;0),E23,0)))</f>
        <v>-622062</v>
      </c>
      <c r="F31" s="14" t="s">
        <v>3</v>
      </c>
      <c r="G31" s="1"/>
    </row>
    <row r="32" spans="1:7" x14ac:dyDescent="0.25">
      <c r="A32" s="1"/>
      <c r="B32" s="121" t="s">
        <v>85</v>
      </c>
      <c r="C32" s="122"/>
      <c r="D32" s="123"/>
      <c r="E32" s="9">
        <v>2</v>
      </c>
      <c r="F32" s="14" t="s">
        <v>18</v>
      </c>
      <c r="G32" s="1"/>
    </row>
    <row r="33" spans="1:7" x14ac:dyDescent="0.25">
      <c r="A33" s="1"/>
      <c r="B33" s="124" t="s">
        <v>116</v>
      </c>
      <c r="C33" s="124"/>
      <c r="D33" s="124"/>
      <c r="E33" s="63">
        <f>E31/E32</f>
        <v>-311031</v>
      </c>
      <c r="F33" s="17" t="s">
        <v>3</v>
      </c>
      <c r="G33" s="1"/>
    </row>
    <row r="34" spans="1:7" x14ac:dyDescent="0.25">
      <c r="A34" s="1"/>
      <c r="B34" s="125"/>
      <c r="C34" s="126"/>
      <c r="D34" s="126"/>
      <c r="E34" s="126"/>
      <c r="F34" s="127"/>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4QOdXRB2znINPnTW9F+X89X8jfqvIOmjwrDFuVSnVBaeLSVEEQQijcbZ9c1t5BH7zKLCnw1oI+z1UUL4CGpcHA==" saltValue="JNR0SBuFLYjmhJhseiunfg==" spinCount="100000" sheet="1" objects="1" scenarios="1"/>
  <mergeCells count="16">
    <mergeCell ref="B14:D14"/>
    <mergeCell ref="B3:F4"/>
    <mergeCell ref="B8:F8"/>
    <mergeCell ref="B9:D9"/>
    <mergeCell ref="B11:F11"/>
    <mergeCell ref="B13:F13"/>
    <mergeCell ref="B31:D31"/>
    <mergeCell ref="B32:D32"/>
    <mergeCell ref="B33:D33"/>
    <mergeCell ref="B34:F34"/>
    <mergeCell ref="B15:D15"/>
    <mergeCell ref="B17:F17"/>
    <mergeCell ref="B26:F26"/>
    <mergeCell ref="B27:D27"/>
    <mergeCell ref="B28:F28"/>
    <mergeCell ref="B30:F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9" t="s">
        <v>183</v>
      </c>
      <c r="C3" s="99"/>
      <c r="D3" s="99"/>
      <c r="E3" s="99"/>
      <c r="F3" s="99"/>
      <c r="G3" s="99"/>
      <c r="H3" s="99"/>
      <c r="I3" s="1"/>
    </row>
    <row r="4" spans="1:9" ht="15" customHeight="1" x14ac:dyDescent="0.25">
      <c r="A4" s="1"/>
      <c r="B4" s="99"/>
      <c r="C4" s="99"/>
      <c r="D4" s="99"/>
      <c r="E4" s="99"/>
      <c r="F4" s="99"/>
      <c r="G4" s="99"/>
      <c r="H4" s="9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3" t="s">
        <v>184</v>
      </c>
      <c r="C8" s="104"/>
      <c r="D8" s="104"/>
      <c r="E8" s="104"/>
      <c r="F8" s="104"/>
      <c r="G8" s="104"/>
      <c r="H8" s="105"/>
      <c r="I8" s="1"/>
    </row>
    <row r="9" spans="1:9" ht="15" customHeight="1" x14ac:dyDescent="0.25">
      <c r="A9" s="1"/>
      <c r="B9" s="134" t="s">
        <v>234</v>
      </c>
      <c r="C9" s="135"/>
      <c r="D9" s="135"/>
      <c r="E9" s="135"/>
      <c r="F9" s="135"/>
      <c r="G9" s="135"/>
      <c r="H9" s="136"/>
      <c r="I9" s="1"/>
    </row>
    <row r="10" spans="1:9" x14ac:dyDescent="0.25">
      <c r="A10" s="1"/>
      <c r="B10" s="137" t="s">
        <v>185</v>
      </c>
      <c r="C10" s="138"/>
      <c r="D10" s="138"/>
      <c r="E10" s="138"/>
      <c r="F10" s="139"/>
      <c r="G10" s="45"/>
      <c r="H10" s="9" t="s">
        <v>3</v>
      </c>
      <c r="I10" s="1"/>
    </row>
    <row r="11" spans="1:9" x14ac:dyDescent="0.25">
      <c r="A11" s="1"/>
      <c r="B11" s="137" t="s">
        <v>186</v>
      </c>
      <c r="C11" s="138"/>
      <c r="D11" s="138"/>
      <c r="E11" s="138"/>
      <c r="F11" s="139"/>
      <c r="G11" s="45"/>
      <c r="H11" s="9" t="s">
        <v>3</v>
      </c>
      <c r="I11" s="1"/>
    </row>
    <row r="12" spans="1:9" x14ac:dyDescent="0.25">
      <c r="A12" s="1"/>
      <c r="B12" s="137" t="s">
        <v>187</v>
      </c>
      <c r="C12" s="138"/>
      <c r="D12" s="138"/>
      <c r="E12" s="138"/>
      <c r="F12" s="139"/>
      <c r="G12" s="9"/>
      <c r="H12" s="9" t="s">
        <v>3</v>
      </c>
      <c r="I12" s="1"/>
    </row>
    <row r="13" spans="1:9" x14ac:dyDescent="0.25">
      <c r="A13" s="1"/>
      <c r="B13" s="137" t="s">
        <v>188</v>
      </c>
      <c r="C13" s="138"/>
      <c r="D13" s="138"/>
      <c r="E13" s="138"/>
      <c r="F13" s="139"/>
      <c r="G13" s="9"/>
      <c r="H13" s="9" t="s">
        <v>3</v>
      </c>
      <c r="I13" s="1"/>
    </row>
    <row r="14" spans="1:9" x14ac:dyDescent="0.25">
      <c r="A14" s="1"/>
      <c r="B14" s="137" t="s">
        <v>189</v>
      </c>
      <c r="C14" s="138"/>
      <c r="D14" s="138"/>
      <c r="E14" s="138"/>
      <c r="F14" s="139"/>
      <c r="G14" s="9"/>
      <c r="H14" s="9" t="s">
        <v>3</v>
      </c>
      <c r="I14" s="1"/>
    </row>
    <row r="15" spans="1:9" x14ac:dyDescent="0.25">
      <c r="A15" s="1"/>
      <c r="B15" s="137" t="s">
        <v>190</v>
      </c>
      <c r="C15" s="138"/>
      <c r="D15" s="138"/>
      <c r="E15" s="138"/>
      <c r="F15" s="139"/>
      <c r="G15" s="9"/>
      <c r="H15" s="9" t="s">
        <v>3</v>
      </c>
      <c r="I15" s="1"/>
    </row>
    <row r="16" spans="1:9" x14ac:dyDescent="0.25">
      <c r="A16" s="1"/>
      <c r="B16" s="137" t="s">
        <v>191</v>
      </c>
      <c r="C16" s="138"/>
      <c r="D16" s="138"/>
      <c r="E16" s="138"/>
      <c r="F16" s="139"/>
      <c r="G16" s="9"/>
      <c r="H16" s="9" t="s">
        <v>3</v>
      </c>
      <c r="I16" s="1"/>
    </row>
    <row r="17" spans="1:9" x14ac:dyDescent="0.25">
      <c r="A17" s="1"/>
      <c r="B17" s="137" t="s">
        <v>192</v>
      </c>
      <c r="C17" s="138"/>
      <c r="D17" s="138"/>
      <c r="E17" s="138"/>
      <c r="F17" s="139"/>
      <c r="G17" s="9"/>
      <c r="H17" s="9" t="s">
        <v>3</v>
      </c>
      <c r="I17" s="1"/>
    </row>
    <row r="18" spans="1:9" x14ac:dyDescent="0.25">
      <c r="A18" s="1"/>
      <c r="B18" s="103" t="s">
        <v>193</v>
      </c>
      <c r="C18" s="104"/>
      <c r="D18" s="104"/>
      <c r="E18" s="104"/>
      <c r="F18" s="105"/>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Mzl8AumtpIWZu2ijEy49LQQlqoJ4kfPUphaw7qMg07byq/ipY/d1XvoYkZUDU6Wd4PfliUkB/jPRhB9dx18eqA==" saltValue="KVA7+LOyvTMcXtvh2gPPDA=="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9" t="s">
        <v>177</v>
      </c>
      <c r="C3" s="99"/>
      <c r="D3" s="99"/>
      <c r="E3" s="99"/>
      <c r="F3" s="99"/>
      <c r="G3" s="99"/>
      <c r="H3" s="99"/>
      <c r="I3" s="99"/>
      <c r="J3" s="99"/>
      <c r="K3" s="99"/>
      <c r="L3" s="1"/>
    </row>
    <row r="4" spans="1:12" ht="15" customHeight="1" x14ac:dyDescent="0.25">
      <c r="A4" s="1"/>
      <c r="B4" s="99"/>
      <c r="C4" s="99"/>
      <c r="D4" s="99"/>
      <c r="E4" s="99"/>
      <c r="F4" s="99"/>
      <c r="G4" s="99"/>
      <c r="H4" s="99"/>
      <c r="I4" s="99"/>
      <c r="J4" s="99"/>
      <c r="K4" s="9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3" t="s">
        <v>155</v>
      </c>
      <c r="C8" s="104"/>
      <c r="D8" s="104"/>
      <c r="E8" s="104"/>
      <c r="F8" s="104"/>
      <c r="G8" s="104"/>
      <c r="H8" s="104"/>
      <c r="I8" s="104"/>
      <c r="J8" s="104"/>
      <c r="K8" s="105"/>
      <c r="L8" s="1"/>
    </row>
    <row r="9" spans="1:12" ht="39.75" customHeight="1" x14ac:dyDescent="0.25">
      <c r="A9" s="1"/>
      <c r="B9" s="18" t="s">
        <v>0</v>
      </c>
      <c r="C9" s="18" t="s">
        <v>1</v>
      </c>
      <c r="D9" s="140" t="s">
        <v>170</v>
      </c>
      <c r="E9" s="141"/>
      <c r="F9" s="140" t="s">
        <v>2</v>
      </c>
      <c r="G9" s="141"/>
      <c r="H9" s="140" t="s">
        <v>171</v>
      </c>
      <c r="I9" s="141"/>
      <c r="J9" s="140" t="s">
        <v>26</v>
      </c>
      <c r="K9" s="141"/>
      <c r="L9" s="1"/>
    </row>
    <row r="10" spans="1:12" x14ac:dyDescent="0.25">
      <c r="A10" s="1"/>
      <c r="B10" s="80" t="s">
        <v>238</v>
      </c>
      <c r="C10" s="31">
        <v>0</v>
      </c>
      <c r="D10" s="9">
        <v>0</v>
      </c>
      <c r="E10" s="14" t="s">
        <v>3</v>
      </c>
      <c r="F10" s="55">
        <f>IFERROR(D10/C10,0)</f>
        <v>0</v>
      </c>
      <c r="G10" s="14" t="s">
        <v>3</v>
      </c>
      <c r="H10" s="9">
        <v>0</v>
      </c>
      <c r="I10" s="14" t="s">
        <v>3</v>
      </c>
      <c r="J10" s="9">
        <v>0</v>
      </c>
      <c r="K10" s="14" t="s">
        <v>3</v>
      </c>
      <c r="L10" s="1"/>
    </row>
    <row r="11" spans="1:12" x14ac:dyDescent="0.25">
      <c r="A11" s="1"/>
      <c r="B11" s="51" t="s">
        <v>215</v>
      </c>
      <c r="C11" s="52"/>
      <c r="D11" s="19"/>
      <c r="E11" s="73"/>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6n+j7Fj4Am5GNpZQ+slmMZqgwXR5pF5OVA42tb/RwtJ6U9BQXVItzJOAwtmNQSzXdvtiBSBPbpT4B7Nlkfzidg==" saltValue="J8AncIT0ito5KRrF3Qqqq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9" t="s">
        <v>178</v>
      </c>
      <c r="C3" s="99"/>
      <c r="D3" s="99"/>
      <c r="E3" s="99"/>
      <c r="F3" s="99"/>
      <c r="G3" s="1"/>
    </row>
    <row r="4" spans="1:7" ht="15" customHeight="1" x14ac:dyDescent="0.25">
      <c r="A4" s="1"/>
      <c r="B4" s="99"/>
      <c r="C4" s="99"/>
      <c r="D4" s="99"/>
      <c r="E4" s="99"/>
      <c r="F4" s="9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70</v>
      </c>
      <c r="C8" s="52"/>
      <c r="D8" s="52"/>
      <c r="E8" s="52"/>
      <c r="F8" s="19"/>
      <c r="G8" s="1"/>
    </row>
    <row r="9" spans="1:7" ht="17.25" customHeight="1" x14ac:dyDescent="0.25">
      <c r="A9" s="1"/>
      <c r="B9" s="78" t="s">
        <v>15</v>
      </c>
      <c r="C9" s="78" t="s">
        <v>10</v>
      </c>
      <c r="D9" s="79"/>
      <c r="E9" s="78"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261</v>
      </c>
      <c r="C11" s="21">
        <v>0</v>
      </c>
      <c r="D11" s="14" t="s">
        <v>3</v>
      </c>
      <c r="E11" s="9">
        <v>758735</v>
      </c>
      <c r="F11" s="14" t="s">
        <v>3</v>
      </c>
      <c r="G11" s="1"/>
    </row>
    <row r="12" spans="1:7" x14ac:dyDescent="0.25">
      <c r="A12" s="1"/>
      <c r="B12" s="27" t="s">
        <v>262</v>
      </c>
      <c r="C12" s="21">
        <v>0</v>
      </c>
      <c r="D12" s="14" t="s">
        <v>3</v>
      </c>
      <c r="E12" s="9">
        <v>29611</v>
      </c>
      <c r="F12" s="14" t="s">
        <v>3</v>
      </c>
      <c r="G12" s="1"/>
    </row>
    <row r="13" spans="1:7" x14ac:dyDescent="0.25">
      <c r="A13" s="1"/>
      <c r="B13" s="27" t="s">
        <v>263</v>
      </c>
      <c r="C13" s="21">
        <v>941213</v>
      </c>
      <c r="D13" s="14" t="s">
        <v>3</v>
      </c>
      <c r="E13" s="9">
        <v>0</v>
      </c>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1" t="s">
        <v>151</v>
      </c>
      <c r="C17" s="12">
        <f>SUM(C10:C16)</f>
        <v>941213</v>
      </c>
      <c r="D17" s="13" t="s">
        <v>3</v>
      </c>
      <c r="E17" s="12">
        <f>SUM(E10:E16)</f>
        <v>788346</v>
      </c>
      <c r="F17" s="13" t="s">
        <v>3</v>
      </c>
      <c r="G17" s="1"/>
    </row>
    <row r="18" spans="1:7" x14ac:dyDescent="0.25">
      <c r="A18" s="1"/>
      <c r="B18" s="51" t="s">
        <v>209</v>
      </c>
      <c r="C18" s="12">
        <f>C17*(1+'Fane 13. Nøgletal'!C16)</f>
        <v>1017263.0104</v>
      </c>
      <c r="D18" s="13" t="s">
        <v>3</v>
      </c>
      <c r="E18" s="12">
        <f>E17*(1+'Fane 13. Nøgletal'!C16)</f>
        <v>852044.35679999995</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l+mxiUacIUpyLyutXCSGFJ8xNl0VwLuQqSTbAgF+RqnqkCTsBlAyowfCjWM1y/nwnLV7mYmmCIYEBW2Fj1cqFQ==" saltValue="hC/YJLKwzcFeUSE7XhWy1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9" t="s">
        <v>179</v>
      </c>
      <c r="C3" s="99"/>
      <c r="D3" s="99"/>
      <c r="E3" s="99"/>
      <c r="F3" s="99"/>
      <c r="G3" s="1"/>
    </row>
    <row r="4" spans="1:7" ht="15" customHeight="1" x14ac:dyDescent="0.25">
      <c r="A4" s="1"/>
      <c r="B4" s="99"/>
      <c r="C4" s="99"/>
      <c r="D4" s="99"/>
      <c r="E4" s="99"/>
      <c r="F4" s="9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3" t="s">
        <v>217</v>
      </c>
      <c r="C9" s="104"/>
      <c r="D9" s="104"/>
      <c r="E9" s="104"/>
      <c r="F9" s="105"/>
      <c r="G9" s="1"/>
    </row>
    <row r="10" spans="1:7" ht="26.25" x14ac:dyDescent="0.25">
      <c r="A10" s="1"/>
      <c r="B10" s="78" t="s">
        <v>15</v>
      </c>
      <c r="C10" s="78" t="s">
        <v>10</v>
      </c>
      <c r="D10" s="79"/>
      <c r="E10" s="78" t="s">
        <v>27</v>
      </c>
      <c r="F10" s="30"/>
      <c r="G10" s="1"/>
    </row>
    <row r="11" spans="1:7" x14ac:dyDescent="0.25">
      <c r="A11" s="1"/>
      <c r="B11" s="23" t="s">
        <v>264</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1" t="s">
        <v>218</v>
      </c>
      <c r="C14" s="12">
        <f>SUM(C11:C13)</f>
        <v>0</v>
      </c>
      <c r="D14" s="13" t="s">
        <v>3</v>
      </c>
      <c r="E14" s="12">
        <f>SUM(E11:E13)</f>
        <v>0</v>
      </c>
      <c r="F14" s="13" t="s">
        <v>3</v>
      </c>
      <c r="G14" s="1"/>
    </row>
    <row r="15" spans="1:7" x14ac:dyDescent="0.25">
      <c r="A15" s="1"/>
      <c r="B15" s="51"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oiGWHmiXVadxau7kX+ek2dAf0szolc4Sl5fA4E2qwV90ogj2ZzVlnVOgbUHtbMUEL0M7yFe9rp9yCrE+cdlCA==" saltValue="HzVYZEyR+auRojpnYavYb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2" t="s">
        <v>180</v>
      </c>
      <c r="C3" s="102"/>
      <c r="D3" s="102"/>
      <c r="E3" s="102"/>
      <c r="F3" s="102"/>
      <c r="G3" s="1"/>
    </row>
    <row r="4" spans="1:7" ht="25.5" customHeight="1" x14ac:dyDescent="0.25">
      <c r="A4" s="1"/>
      <c r="B4" s="102"/>
      <c r="C4" s="102"/>
      <c r="D4" s="102"/>
      <c r="E4" s="102"/>
      <c r="F4" s="10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3" t="s">
        <v>104</v>
      </c>
      <c r="C8" s="104"/>
      <c r="D8" s="104"/>
      <c r="E8" s="104"/>
      <c r="F8" s="105"/>
      <c r="G8" s="1"/>
    </row>
    <row r="9" spans="1:7" ht="15" customHeight="1" x14ac:dyDescent="0.25">
      <c r="A9" s="1"/>
      <c r="B9" s="53" t="s">
        <v>105</v>
      </c>
      <c r="C9" s="134" t="s">
        <v>10</v>
      </c>
      <c r="D9" s="136"/>
      <c r="E9" s="134" t="s">
        <v>27</v>
      </c>
      <c r="F9" s="136"/>
      <c r="G9" s="1"/>
    </row>
    <row r="10" spans="1:7" ht="26.25" x14ac:dyDescent="0.25">
      <c r="A10" s="1"/>
      <c r="B10" s="57"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TXPsYfIQLpTx0FXj1CQOOXozYxG8CXk8G0D3GlTC7zbdZBvY79NWT7R8w6T8SLJitd7KRl8LcboBZI+41P2xKg==" saltValue="3JCCGEa84G57pehbw2JWE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2" t="s">
        <v>181</v>
      </c>
      <c r="C3" s="102"/>
      <c r="D3" s="102"/>
      <c r="E3" s="102"/>
      <c r="F3" s="102"/>
      <c r="G3" s="1"/>
    </row>
    <row r="4" spans="1:7" ht="25.5" customHeight="1" x14ac:dyDescent="0.25">
      <c r="A4" s="1"/>
      <c r="B4" s="102"/>
      <c r="C4" s="102"/>
      <c r="D4" s="102"/>
      <c r="E4" s="102"/>
      <c r="F4" s="10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3" t="s">
        <v>237</v>
      </c>
      <c r="C10" s="104"/>
      <c r="D10" s="104"/>
      <c r="E10" s="104"/>
      <c r="F10" s="105"/>
      <c r="G10" s="1"/>
    </row>
    <row r="11" spans="1:7" ht="26.25" x14ac:dyDescent="0.25">
      <c r="A11" s="1"/>
      <c r="B11" s="53" t="s">
        <v>16</v>
      </c>
      <c r="C11" s="53" t="s">
        <v>10</v>
      </c>
      <c r="D11" s="30"/>
      <c r="E11" s="53" t="s">
        <v>27</v>
      </c>
      <c r="F11" s="30"/>
      <c r="G11" s="1"/>
    </row>
    <row r="12" spans="1:7" x14ac:dyDescent="0.25">
      <c r="A12" s="1"/>
      <c r="B12" s="57" t="s">
        <v>242</v>
      </c>
      <c r="C12" s="9">
        <v>0</v>
      </c>
      <c r="D12" s="14" t="s">
        <v>3</v>
      </c>
      <c r="E12" s="9">
        <v>0</v>
      </c>
      <c r="F12" s="14" t="s">
        <v>3</v>
      </c>
      <c r="G12" s="1"/>
    </row>
    <row r="13" spans="1:7" x14ac:dyDescent="0.25">
      <c r="A13" s="1"/>
      <c r="B13" s="51" t="s">
        <v>78</v>
      </c>
      <c r="C13" s="12">
        <f>SUM(C12:C12)</f>
        <v>0</v>
      </c>
      <c r="D13" s="13" t="s">
        <v>3</v>
      </c>
      <c r="E13" s="12">
        <f>SUM(E12:E12)</f>
        <v>0</v>
      </c>
      <c r="F13" s="13" t="s">
        <v>3</v>
      </c>
      <c r="G13" s="1"/>
    </row>
    <row r="14" spans="1:7" x14ac:dyDescent="0.25">
      <c r="A14" s="1"/>
      <c r="B14" s="51"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sTN+HG9t8DMCZ96OJW+sPUiH2qJb//R9L35U+fXZ7NuKm5oxd+H57dhKUGDfhNSbSrWavcw73ttitKOUSthJXg==" saltValue="UI4SnUmsh3JbrACtSrspPw=="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2" t="s">
        <v>182</v>
      </c>
      <c r="C3" s="102"/>
      <c r="D3" s="1"/>
    </row>
    <row r="4" spans="1:4" ht="25.5" customHeight="1" x14ac:dyDescent="0.25">
      <c r="A4" s="1"/>
      <c r="B4" s="102"/>
      <c r="C4" s="102"/>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1" t="s">
        <v>13</v>
      </c>
      <c r="C8" s="39"/>
      <c r="D8" s="1"/>
    </row>
    <row r="9" spans="1:4" x14ac:dyDescent="0.25">
      <c r="A9" s="1"/>
      <c r="B9" s="70" t="s">
        <v>93</v>
      </c>
      <c r="C9" s="40">
        <v>1.2699999999999999E-2</v>
      </c>
      <c r="D9" s="1"/>
    </row>
    <row r="10" spans="1:4" x14ac:dyDescent="0.25">
      <c r="A10" s="1"/>
      <c r="B10" s="70" t="s">
        <v>21</v>
      </c>
      <c r="C10" s="40">
        <v>1.7500000000000002E-2</v>
      </c>
      <c r="D10" s="1"/>
    </row>
    <row r="11" spans="1:4" x14ac:dyDescent="0.25">
      <c r="A11" s="1"/>
      <c r="B11" s="70"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3"/>
      <c r="C17" s="105"/>
      <c r="D17" s="1"/>
    </row>
    <row r="18" spans="1:4" x14ac:dyDescent="0.25">
      <c r="A18" s="1"/>
      <c r="B18" s="1"/>
      <c r="C18" s="38"/>
      <c r="D18" s="1"/>
    </row>
    <row r="19" spans="1:4" x14ac:dyDescent="0.25">
      <c r="A19" s="1"/>
      <c r="B19" s="1"/>
      <c r="C19" s="38"/>
      <c r="D19" s="1"/>
    </row>
    <row r="20" spans="1:4" x14ac:dyDescent="0.25">
      <c r="A20" s="1"/>
      <c r="B20" s="51" t="s">
        <v>81</v>
      </c>
      <c r="C20" s="39"/>
      <c r="D20" s="1"/>
    </row>
    <row r="21" spans="1:4" x14ac:dyDescent="0.25">
      <c r="A21" s="1"/>
      <c r="B21" s="70" t="s">
        <v>95</v>
      </c>
      <c r="C21" s="42">
        <v>9.1000000000000004E-3</v>
      </c>
      <c r="D21" s="1"/>
    </row>
    <row r="22" spans="1:4" x14ac:dyDescent="0.25">
      <c r="A22" s="1"/>
      <c r="B22" s="70" t="s">
        <v>96</v>
      </c>
      <c r="C22" s="42">
        <v>1.77E-2</v>
      </c>
      <c r="D22" s="1"/>
    </row>
    <row r="23" spans="1:4" x14ac:dyDescent="0.25">
      <c r="A23" s="1"/>
      <c r="B23" s="70" t="s">
        <v>97</v>
      </c>
      <c r="C23" s="42">
        <v>8.6999999999999994E-3</v>
      </c>
      <c r="D23" s="1"/>
    </row>
    <row r="24" spans="1:4" x14ac:dyDescent="0.25">
      <c r="A24" s="1"/>
      <c r="B24" s="70" t="s">
        <v>98</v>
      </c>
      <c r="C24" s="42">
        <v>2.8400000000000002E-2</v>
      </c>
      <c r="D24" s="1"/>
    </row>
    <row r="25" spans="1:4" x14ac:dyDescent="0.25">
      <c r="A25" s="1"/>
      <c r="B25" s="70" t="s">
        <v>111</v>
      </c>
      <c r="C25" s="42">
        <v>2.75E-2</v>
      </c>
      <c r="D25" s="1"/>
    </row>
    <row r="26" spans="1:4" x14ac:dyDescent="0.25">
      <c r="A26" s="1"/>
      <c r="B26" s="70"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1"/>
      <c r="C29" s="39"/>
      <c r="D29" s="1"/>
    </row>
    <row r="30" spans="1:4" x14ac:dyDescent="0.25">
      <c r="A30" s="1"/>
      <c r="B30" s="1"/>
      <c r="C30" s="38"/>
      <c r="D30" s="1"/>
    </row>
    <row r="31" spans="1:4" x14ac:dyDescent="0.25">
      <c r="A31" s="1"/>
      <c r="B31" s="1"/>
      <c r="C31" s="38"/>
      <c r="D31" s="1"/>
    </row>
    <row r="32" spans="1:4" x14ac:dyDescent="0.25">
      <c r="A32" s="1"/>
      <c r="B32" s="51" t="s">
        <v>82</v>
      </c>
      <c r="C32" s="39"/>
      <c r="D32" s="1"/>
    </row>
    <row r="33" spans="1:4" x14ac:dyDescent="0.25">
      <c r="A33" s="1"/>
      <c r="B33" s="70" t="s">
        <v>99</v>
      </c>
      <c r="C33" s="40">
        <v>0.02</v>
      </c>
      <c r="D33" s="1"/>
    </row>
    <row r="34" spans="1:4" x14ac:dyDescent="0.25">
      <c r="A34" s="1"/>
      <c r="B34" s="51"/>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aHM3GOxCm6jpaseVQ/6DcuDVSRQSydaXpkVdsHH+cV9v4cLsAdX9KME1Mt80e6Ek34iP7S5l5Bk22c8mbhrHrg==" saltValue="To+ON4lKgWQU3vfjSEu3Gw=="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9" t="s">
        <v>198</v>
      </c>
      <c r="C3" s="99"/>
      <c r="D3" s="99"/>
      <c r="E3" s="1"/>
    </row>
    <row r="4" spans="1:5" ht="15" customHeight="1" x14ac:dyDescent="0.25">
      <c r="A4" s="1"/>
      <c r="B4" s="99"/>
      <c r="C4" s="99"/>
      <c r="D4" s="99"/>
      <c r="E4" s="1"/>
    </row>
    <row r="5" spans="1:5" x14ac:dyDescent="0.25">
      <c r="A5" s="1"/>
      <c r="B5" s="1"/>
      <c r="C5" s="1"/>
      <c r="D5" s="1"/>
      <c r="E5" s="1"/>
    </row>
    <row r="6" spans="1:5" x14ac:dyDescent="0.25">
      <c r="A6" s="1"/>
      <c r="B6" s="1"/>
      <c r="C6" s="1"/>
      <c r="D6" s="1"/>
      <c r="E6" s="1"/>
    </row>
    <row r="7" spans="1:5" x14ac:dyDescent="0.25">
      <c r="A7" s="1"/>
      <c r="B7" s="51" t="s">
        <v>12</v>
      </c>
      <c r="C7" s="52"/>
      <c r="D7" s="19"/>
      <c r="E7" s="1"/>
    </row>
    <row r="8" spans="1:5" x14ac:dyDescent="0.25">
      <c r="A8" s="1"/>
      <c r="B8" s="54" t="s">
        <v>109</v>
      </c>
      <c r="C8" s="7">
        <f>'Fane 3. Omkostninger i ØR2023'!C19</f>
        <v>12591437.443255989</v>
      </c>
      <c r="D8" s="8" t="s">
        <v>3</v>
      </c>
      <c r="E8" s="1"/>
    </row>
    <row r="9" spans="1:5" ht="17.100000000000001" customHeight="1" x14ac:dyDescent="0.25">
      <c r="A9" s="1"/>
      <c r="B9" s="24" t="s">
        <v>33</v>
      </c>
      <c r="C9" s="7">
        <f>'Fane 10.1. Varige tillæg'!C18</f>
        <v>1017263.0104</v>
      </c>
      <c r="D9" s="8" t="s">
        <v>3</v>
      </c>
      <c r="E9" s="1"/>
    </row>
    <row r="10" spans="1:5" ht="17.100000000000001" customHeight="1" x14ac:dyDescent="0.25">
      <c r="A10" s="1"/>
      <c r="B10" s="24" t="s">
        <v>34</v>
      </c>
      <c r="C10" s="9">
        <f>'Fane 10.1. Varige tillæg'!E18</f>
        <v>852044.35679999995</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599295.20824967325</v>
      </c>
      <c r="D15" s="8" t="s">
        <v>3</v>
      </c>
      <c r="E15" s="1"/>
    </row>
    <row r="16" spans="1:5" ht="17.100000000000001" customHeight="1" x14ac:dyDescent="0.25">
      <c r="A16" s="1"/>
      <c r="B16" s="24" t="s">
        <v>9</v>
      </c>
      <c r="C16" s="9">
        <f>-SUM(C8,C9:C15)*'Fane 5. Individuelt eff. krav'!G9</f>
        <v>-43168.254804233977</v>
      </c>
      <c r="D16" s="8" t="s">
        <v>3</v>
      </c>
      <c r="E16" s="1"/>
    </row>
    <row r="17" spans="1:5" ht="17.100000000000001" customHeight="1" x14ac:dyDescent="0.25">
      <c r="A17" s="1"/>
      <c r="B17" s="24" t="s">
        <v>22</v>
      </c>
      <c r="C17" s="9">
        <f>-'Fane 4.1. Gen. krav - drift'!G49</f>
        <v>-193413.9953214881</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5" t="s">
        <v>19</v>
      </c>
      <c r="C19" s="10">
        <f>SUM(C8:C18)</f>
        <v>14823457.768579939</v>
      </c>
      <c r="D19" s="11" t="s">
        <v>3</v>
      </c>
      <c r="E19" s="1"/>
    </row>
    <row r="20" spans="1:5" ht="15" customHeight="1" x14ac:dyDescent="0.25">
      <c r="A20" s="1"/>
      <c r="B20" s="51" t="s">
        <v>11</v>
      </c>
      <c r="C20" s="52"/>
      <c r="D20" s="19"/>
      <c r="E20" s="1"/>
    </row>
    <row r="21" spans="1:5" ht="15" customHeight="1" x14ac:dyDescent="0.25">
      <c r="A21" s="1"/>
      <c r="B21" s="53" t="s">
        <v>11</v>
      </c>
      <c r="C21" s="10">
        <f>'Fane 6. Ikke-påvirkelige omk.'!C20</f>
        <v>19969197.649045117</v>
      </c>
      <c r="D21" s="11" t="s">
        <v>3</v>
      </c>
      <c r="E21" s="1"/>
    </row>
    <row r="22" spans="1:5" ht="15" customHeight="1" x14ac:dyDescent="0.25">
      <c r="A22" s="1"/>
      <c r="B22" s="51" t="s">
        <v>75</v>
      </c>
      <c r="C22" s="52"/>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5" t="s">
        <v>76</v>
      </c>
      <c r="C27" s="56">
        <f>SUM(C23:C26)</f>
        <v>0</v>
      </c>
      <c r="D27" s="11" t="s">
        <v>3</v>
      </c>
      <c r="E27" s="1"/>
    </row>
    <row r="28" spans="1:5" ht="15" customHeight="1" x14ac:dyDescent="0.25">
      <c r="A28" s="1"/>
      <c r="B28" s="26" t="s">
        <v>117</v>
      </c>
      <c r="C28" s="52"/>
      <c r="D28" s="19"/>
      <c r="E28" s="1"/>
    </row>
    <row r="29" spans="1:5" x14ac:dyDescent="0.25">
      <c r="A29" s="1"/>
      <c r="B29" s="74" t="s">
        <v>118</v>
      </c>
      <c r="C29" s="10">
        <f>'Fane 7. Kontrol af ØR2022'!E15</f>
        <v>-837649</v>
      </c>
      <c r="D29" s="11" t="s">
        <v>3</v>
      </c>
      <c r="E29" s="1"/>
    </row>
    <row r="30" spans="1:5" x14ac:dyDescent="0.25">
      <c r="A30" s="1"/>
      <c r="B30" s="26" t="s">
        <v>138</v>
      </c>
      <c r="C30" s="52"/>
      <c r="D30" s="19"/>
      <c r="E30" s="1"/>
    </row>
    <row r="31" spans="1:5" x14ac:dyDescent="0.25">
      <c r="A31" s="1"/>
      <c r="B31" s="74" t="s">
        <v>139</v>
      </c>
      <c r="C31" s="10">
        <f>'Fane 8. Skattesagen'!G13</f>
        <v>0</v>
      </c>
      <c r="D31" s="11" t="s">
        <v>3</v>
      </c>
      <c r="E31" s="1"/>
    </row>
    <row r="32" spans="1:5" x14ac:dyDescent="0.25">
      <c r="A32" s="1"/>
      <c r="B32" s="51" t="s">
        <v>126</v>
      </c>
      <c r="C32" s="33">
        <f>SUM(C19,C21,C27,C29,C31)</f>
        <v>33955006.417625055</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ujxmu+POV8rcgMZMruVxKrBGX8LRd3oT/UcXcrWVyGFOi99yoUAH57KYJJNvkf+IySK4pb7IKHadHbaR8QsBtg==" saltValue="8K8QZskyH0z0+obJa9O28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9" t="s">
        <v>199</v>
      </c>
      <c r="C3" s="99"/>
      <c r="D3" s="99"/>
      <c r="E3" s="1"/>
    </row>
    <row r="4" spans="1:5" ht="15" customHeight="1" x14ac:dyDescent="0.25">
      <c r="A4" s="1"/>
      <c r="B4" s="99"/>
      <c r="C4" s="99"/>
      <c r="D4" s="99"/>
      <c r="E4" s="1"/>
    </row>
    <row r="5" spans="1:5" x14ac:dyDescent="0.25">
      <c r="A5" s="1"/>
      <c r="B5" s="100" t="s">
        <v>20</v>
      </c>
      <c r="C5" s="100"/>
      <c r="D5" s="100"/>
      <c r="E5" s="1"/>
    </row>
    <row r="6" spans="1:5" x14ac:dyDescent="0.25">
      <c r="A6" s="1"/>
      <c r="B6" s="1"/>
      <c r="C6" s="1"/>
      <c r="D6" s="1"/>
      <c r="E6" s="1"/>
    </row>
    <row r="7" spans="1:5" x14ac:dyDescent="0.25">
      <c r="A7" s="1"/>
      <c r="B7" s="51" t="s">
        <v>12</v>
      </c>
      <c r="C7" s="52"/>
      <c r="D7" s="19"/>
      <c r="E7" s="1"/>
    </row>
    <row r="8" spans="1:5" ht="15" customHeight="1" x14ac:dyDescent="0.25">
      <c r="A8" s="1"/>
      <c r="B8" s="54" t="s">
        <v>127</v>
      </c>
      <c r="C8" s="7">
        <f>'Fane 2.1. Økonomisk ramme 2024'!C19</f>
        <v>14823457.768579939</v>
      </c>
      <c r="D8" s="8" t="s">
        <v>3</v>
      </c>
      <c r="E8" s="1"/>
    </row>
    <row r="9" spans="1:5" ht="15" customHeight="1" x14ac:dyDescent="0.25">
      <c r="A9" s="1"/>
      <c r="B9" s="29" t="s">
        <v>17</v>
      </c>
      <c r="C9" s="9">
        <f>SUM(C8:C8)*'Fane 13. Nøgletal'!C16</f>
        <v>1197735.387701259</v>
      </c>
      <c r="D9" s="8" t="s">
        <v>3</v>
      </c>
      <c r="E9" s="1"/>
    </row>
    <row r="10" spans="1:5" ht="15" customHeight="1" x14ac:dyDescent="0.25">
      <c r="A10" s="1"/>
      <c r="B10" s="29" t="s">
        <v>9</v>
      </c>
      <c r="C10" s="9">
        <f>-SUM(C8:C9)*'Fane 5. Individuelt eff. krav'!G9</f>
        <v>-45923.314119960531</v>
      </c>
      <c r="D10" s="8" t="s">
        <v>3</v>
      </c>
      <c r="E10" s="1"/>
    </row>
    <row r="11" spans="1:5" ht="15" customHeight="1" x14ac:dyDescent="0.25">
      <c r="A11" s="1"/>
      <c r="B11" s="29" t="s">
        <v>22</v>
      </c>
      <c r="C11" s="9">
        <f>-'Fane 4.1. Gen. krav - drift'!G54</f>
        <v>-204861.00922059504</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15770408.832940644</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f>
        <v>21582708.819087964</v>
      </c>
      <c r="D15" s="11" t="s">
        <v>3</v>
      </c>
      <c r="E15" s="1"/>
    </row>
    <row r="16" spans="1:5" x14ac:dyDescent="0.25">
      <c r="A16" s="1"/>
      <c r="B16" s="26" t="s">
        <v>117</v>
      </c>
      <c r="C16" s="52"/>
      <c r="D16" s="19"/>
      <c r="E16" s="1"/>
    </row>
    <row r="17" spans="1:5" ht="15" customHeight="1" x14ac:dyDescent="0.25">
      <c r="A17" s="1"/>
      <c r="B17" s="74" t="s">
        <v>118</v>
      </c>
      <c r="C17" s="10">
        <f>'Fane 7. Kontrol af ØR2022'!E33</f>
        <v>-311031</v>
      </c>
      <c r="D17" s="11" t="s">
        <v>3</v>
      </c>
      <c r="E17" s="1"/>
    </row>
    <row r="18" spans="1:5" x14ac:dyDescent="0.25">
      <c r="A18" s="1"/>
      <c r="B18" s="26" t="s">
        <v>138</v>
      </c>
      <c r="C18" s="52"/>
      <c r="D18" s="19"/>
      <c r="E18" s="1"/>
    </row>
    <row r="19" spans="1:5" x14ac:dyDescent="0.25">
      <c r="A19" s="1"/>
      <c r="B19" s="74" t="s">
        <v>139</v>
      </c>
      <c r="C19" s="10">
        <f>'Fane 8. Skattesagen'!G13</f>
        <v>0</v>
      </c>
      <c r="D19" s="11" t="s">
        <v>3</v>
      </c>
      <c r="E19" s="1"/>
    </row>
    <row r="20" spans="1:5" x14ac:dyDescent="0.25">
      <c r="A20" s="1"/>
      <c r="B20" s="51" t="s">
        <v>128</v>
      </c>
      <c r="C20" s="12">
        <f>SUM(C13,C15,C17,C19)</f>
        <v>37042086.652028605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mlKZSpq2cDe3k33JLbV1V9HXAl1iEQ4+O24GQeqA0Cm6sI6dnisdekTnLSFHu88j6neRIzK1F0DgC4wOi854gg==" saltValue="nv6xqzzQZoCYVAuofja7C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9" t="s">
        <v>200</v>
      </c>
      <c r="C3" s="99"/>
      <c r="D3" s="99"/>
      <c r="E3" s="1"/>
    </row>
    <row r="4" spans="1:5" ht="15" customHeight="1" x14ac:dyDescent="0.25">
      <c r="A4" s="1"/>
      <c r="B4" s="99"/>
      <c r="C4" s="99"/>
      <c r="D4" s="99"/>
      <c r="E4" s="1"/>
    </row>
    <row r="5" spans="1:5" x14ac:dyDescent="0.25">
      <c r="A5" s="1"/>
      <c r="B5" s="100" t="s">
        <v>20</v>
      </c>
      <c r="C5" s="100"/>
      <c r="D5" s="100"/>
      <c r="E5" s="1"/>
    </row>
    <row r="6" spans="1:5" x14ac:dyDescent="0.25">
      <c r="A6" s="1"/>
      <c r="B6" s="1"/>
      <c r="C6" s="1"/>
      <c r="D6" s="1"/>
      <c r="E6" s="1"/>
    </row>
    <row r="7" spans="1:5" x14ac:dyDescent="0.25">
      <c r="A7" s="1"/>
      <c r="B7" s="51" t="s">
        <v>12</v>
      </c>
      <c r="C7" s="52"/>
      <c r="D7" s="19"/>
      <c r="E7" s="1"/>
    </row>
    <row r="8" spans="1:5" ht="15" customHeight="1" x14ac:dyDescent="0.25">
      <c r="A8" s="1"/>
      <c r="B8" s="54" t="s">
        <v>142</v>
      </c>
      <c r="C8" s="7">
        <f>'Fane 2.2. Økonomisk ramme 2025'!C13</f>
        <v>15770408.832940644</v>
      </c>
      <c r="D8" s="8" t="s">
        <v>3</v>
      </c>
      <c r="E8" s="1"/>
    </row>
    <row r="9" spans="1:5" ht="15" customHeight="1" x14ac:dyDescent="0.25">
      <c r="A9" s="1"/>
      <c r="B9" s="29" t="s">
        <v>17</v>
      </c>
      <c r="C9" s="9">
        <f>SUM(C8:C8)*'Fane 13. Nøgletal'!C16</f>
        <v>1274249.033701604</v>
      </c>
      <c r="D9" s="8" t="s">
        <v>3</v>
      </c>
      <c r="E9" s="1"/>
    </row>
    <row r="10" spans="1:5" ht="15" customHeight="1" x14ac:dyDescent="0.25">
      <c r="A10" s="1"/>
      <c r="B10" s="29" t="s">
        <v>9</v>
      </c>
      <c r="C10" s="9">
        <f>-SUM(C8:C9)*'Fane 5. Individuelt eff. krav'!G9</f>
        <v>-48856.983973767761</v>
      </c>
      <c r="D10" s="8" t="s">
        <v>3</v>
      </c>
      <c r="E10" s="1"/>
    </row>
    <row r="11" spans="1:5" ht="15" customHeight="1" x14ac:dyDescent="0.25">
      <c r="A11" s="1"/>
      <c r="B11" s="29" t="s">
        <v>22</v>
      </c>
      <c r="C11" s="9">
        <f>-'Fane 4.1. Gen. krav - drift'!G59</f>
        <v>-216985.50319030671</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16778815.379478175</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Nøgletal'!C16)^2</f>
        <v>23326591.691670269</v>
      </c>
      <c r="D15" s="11" t="s">
        <v>3</v>
      </c>
      <c r="E15" s="1"/>
    </row>
    <row r="16" spans="1:5" x14ac:dyDescent="0.25">
      <c r="A16" s="1"/>
      <c r="B16" s="51" t="s">
        <v>117</v>
      </c>
      <c r="C16" s="52"/>
      <c r="D16" s="19"/>
      <c r="E16" s="1"/>
    </row>
    <row r="17" spans="1:5" x14ac:dyDescent="0.25">
      <c r="A17" s="1"/>
      <c r="B17" s="53" t="s">
        <v>118</v>
      </c>
      <c r="C17" s="10">
        <f>'Fane 7. Kontrol af ØR2022'!E33</f>
        <v>-311031</v>
      </c>
      <c r="D17" s="11" t="s">
        <v>3</v>
      </c>
      <c r="E17" s="1"/>
    </row>
    <row r="18" spans="1:5" ht="15" customHeight="1" x14ac:dyDescent="0.25">
      <c r="A18" s="1"/>
      <c r="B18" s="26" t="s">
        <v>138</v>
      </c>
      <c r="C18" s="52"/>
      <c r="D18" s="19"/>
      <c r="E18" s="1"/>
    </row>
    <row r="19" spans="1:5" ht="15" customHeight="1" x14ac:dyDescent="0.25">
      <c r="A19" s="1"/>
      <c r="B19" s="74" t="s">
        <v>139</v>
      </c>
      <c r="C19" s="10">
        <f>'Fane 8. Skattesagen'!G14</f>
        <v>0</v>
      </c>
      <c r="D19" s="11" t="s">
        <v>3</v>
      </c>
      <c r="E19" s="1"/>
    </row>
    <row r="20" spans="1:5" x14ac:dyDescent="0.25">
      <c r="A20" s="1"/>
      <c r="B20" s="51" t="s">
        <v>143</v>
      </c>
      <c r="C20" s="12">
        <f>SUM(C13,C15,C17,C19)</f>
        <v>39794376.07114844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yHOqdexu4Pn9JB/0kx1LlYPMJfpoiXKVsiXPNQhVqJW9c4ltxnv0T75c+Ecf+XKbHQVNvT8NHJ/dxfqSIl2xcw==" saltValue="8HoFUrFWd+0+0lKOYRn7s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9" t="s">
        <v>204</v>
      </c>
      <c r="C3" s="99"/>
      <c r="D3" s="99"/>
      <c r="E3" s="1"/>
    </row>
    <row r="4" spans="1:5" ht="15" customHeight="1" x14ac:dyDescent="0.25">
      <c r="A4" s="1"/>
      <c r="B4" s="99"/>
      <c r="C4" s="99"/>
      <c r="D4" s="99"/>
      <c r="E4" s="1"/>
    </row>
    <row r="5" spans="1:5" x14ac:dyDescent="0.25">
      <c r="A5" s="1"/>
      <c r="B5" s="100" t="s">
        <v>20</v>
      </c>
      <c r="C5" s="100"/>
      <c r="D5" s="100"/>
      <c r="E5" s="1"/>
    </row>
    <row r="6" spans="1:5" x14ac:dyDescent="0.25">
      <c r="A6" s="1"/>
      <c r="B6" s="1"/>
      <c r="C6" s="1"/>
      <c r="D6" s="1"/>
      <c r="E6" s="1"/>
    </row>
    <row r="7" spans="1:5" x14ac:dyDescent="0.25">
      <c r="A7" s="1"/>
      <c r="B7" s="51" t="s">
        <v>12</v>
      </c>
      <c r="C7" s="52"/>
      <c r="D7" s="19"/>
      <c r="E7" s="1"/>
    </row>
    <row r="8" spans="1:5" ht="15" customHeight="1" x14ac:dyDescent="0.25">
      <c r="A8" s="1"/>
      <c r="B8" s="54" t="s">
        <v>203</v>
      </c>
      <c r="C8" s="7">
        <f>'Fane 2.3. Økonomisk ramme 2026'!C13</f>
        <v>16778815.379478175</v>
      </c>
      <c r="D8" s="8" t="s">
        <v>3</v>
      </c>
      <c r="E8" s="1"/>
    </row>
    <row r="9" spans="1:5" ht="15" customHeight="1" x14ac:dyDescent="0.25">
      <c r="A9" s="1"/>
      <c r="B9" s="29" t="s">
        <v>17</v>
      </c>
      <c r="C9" s="9">
        <f>SUM(C8:C8)*'Fane 13. Nøgletal'!C16</f>
        <v>1355728.2826618366</v>
      </c>
      <c r="D9" s="8" t="s">
        <v>3</v>
      </c>
      <c r="E9" s="1"/>
    </row>
    <row r="10" spans="1:5" ht="15" customHeight="1" x14ac:dyDescent="0.25">
      <c r="A10" s="1"/>
      <c r="B10" s="29" t="s">
        <v>9</v>
      </c>
      <c r="C10" s="9">
        <f>-SUM(C8:C9)*'Fane 5. Individuelt eff. krav'!G9</f>
        <v>-51981.043914453519</v>
      </c>
      <c r="D10" s="8" t="s">
        <v>3</v>
      </c>
      <c r="E10" s="1"/>
    </row>
    <row r="11" spans="1:5" ht="15" customHeight="1" x14ac:dyDescent="0.25">
      <c r="A11" s="1"/>
      <c r="B11" s="29" t="s">
        <v>22</v>
      </c>
      <c r="C11" s="9">
        <f>-'Fane 4.1. Gen. krav - drift'!G64</f>
        <v>-229827.57321112184</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17852735.045014437</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Nøgletal'!C16)^3</f>
        <v>25211380.300357226</v>
      </c>
      <c r="D15" s="11" t="s">
        <v>3</v>
      </c>
      <c r="E15" s="1"/>
    </row>
    <row r="16" spans="1:5" x14ac:dyDescent="0.25">
      <c r="A16" s="1"/>
      <c r="B16" s="51" t="s">
        <v>117</v>
      </c>
      <c r="C16" s="52"/>
      <c r="D16" s="19"/>
      <c r="E16" s="1"/>
    </row>
    <row r="17" spans="1:5" x14ac:dyDescent="0.25">
      <c r="A17" s="1"/>
      <c r="B17" s="53" t="s">
        <v>118</v>
      </c>
      <c r="C17" s="10">
        <v>0</v>
      </c>
      <c r="D17" s="11" t="s">
        <v>3</v>
      </c>
      <c r="E17" s="1"/>
    </row>
    <row r="18" spans="1:5" x14ac:dyDescent="0.25">
      <c r="A18" s="1"/>
      <c r="B18" s="26" t="s">
        <v>138</v>
      </c>
      <c r="C18" s="52"/>
      <c r="D18" s="19"/>
      <c r="E18" s="1"/>
    </row>
    <row r="19" spans="1:5" x14ac:dyDescent="0.25">
      <c r="A19" s="1"/>
      <c r="B19" s="74" t="s">
        <v>139</v>
      </c>
      <c r="C19" s="10">
        <f>'Fane 8. Skattesagen'!G15</f>
        <v>0</v>
      </c>
      <c r="D19" s="11" t="s">
        <v>3</v>
      </c>
      <c r="E19" s="1"/>
    </row>
    <row r="20" spans="1:5" x14ac:dyDescent="0.25">
      <c r="A20" s="1"/>
      <c r="B20" s="51" t="s">
        <v>205</v>
      </c>
      <c r="C20" s="12">
        <f>SUM(C13,C15,C17,C19)</f>
        <v>43064115.345371664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N8faajCNoy9AwbwNwSjY/lPiJqWHXpds7mc1RXqJ6J8curQYmuPYLFlSCGalvot7PRVfZjgVVnuptCWQlB7cYQ==" saltValue="cIl1bEg0fN1N9Cupq6z4D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2" t="s">
        <v>201</v>
      </c>
      <c r="C3" s="102"/>
      <c r="D3" s="102"/>
      <c r="E3" s="1"/>
    </row>
    <row r="4" spans="1:5" x14ac:dyDescent="0.25">
      <c r="A4" s="1"/>
      <c r="B4" s="102"/>
      <c r="C4" s="102"/>
      <c r="D4" s="102"/>
      <c r="E4" s="1"/>
    </row>
    <row r="5" spans="1:5" x14ac:dyDescent="0.25">
      <c r="A5" s="1"/>
      <c r="B5" s="1"/>
      <c r="C5" s="1"/>
      <c r="D5" s="1"/>
      <c r="E5" s="1"/>
    </row>
    <row r="6" spans="1:5" x14ac:dyDescent="0.25">
      <c r="A6" s="1"/>
      <c r="B6" s="1"/>
      <c r="C6" s="1"/>
      <c r="D6" s="1"/>
      <c r="E6" s="1"/>
    </row>
    <row r="7" spans="1:5" x14ac:dyDescent="0.25">
      <c r="A7" s="1"/>
      <c r="B7" s="51" t="s">
        <v>202</v>
      </c>
      <c r="C7" s="52"/>
      <c r="D7" s="19"/>
      <c r="E7" s="1"/>
    </row>
    <row r="8" spans="1:5" x14ac:dyDescent="0.25">
      <c r="A8" s="1"/>
      <c r="B8" s="54" t="s">
        <v>108</v>
      </c>
      <c r="C8" s="7">
        <v>12357115.763341384</v>
      </c>
      <c r="D8" s="8" t="s">
        <v>3</v>
      </c>
      <c r="E8" s="1"/>
    </row>
    <row r="9" spans="1:5" x14ac:dyDescent="0.25">
      <c r="A9" s="1"/>
      <c r="B9" s="24" t="s">
        <v>33</v>
      </c>
      <c r="C9" s="7">
        <v>0</v>
      </c>
      <c r="D9" s="8" t="s">
        <v>3</v>
      </c>
      <c r="E9" s="1"/>
    </row>
    <row r="10" spans="1:5" x14ac:dyDescent="0.25">
      <c r="A10" s="1"/>
      <c r="B10" s="24" t="s">
        <v>34</v>
      </c>
      <c r="C10" s="9">
        <v>0</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439913.32117495325</v>
      </c>
      <c r="D15" s="8" t="s">
        <v>3</v>
      </c>
      <c r="E15" s="1"/>
    </row>
    <row r="16" spans="1:5" x14ac:dyDescent="0.25">
      <c r="A16" s="1"/>
      <c r="B16" s="24" t="s">
        <v>9</v>
      </c>
      <c r="C16" s="9">
        <v>-36681.536806770891</v>
      </c>
      <c r="D16" s="8" t="s">
        <v>3</v>
      </c>
      <c r="E16" s="1"/>
    </row>
    <row r="17" spans="1:5" x14ac:dyDescent="0.25">
      <c r="A17" s="1"/>
      <c r="B17" s="24" t="s">
        <v>22</v>
      </c>
      <c r="C17" s="9">
        <v>-168910.10445357685</v>
      </c>
      <c r="D17" s="8" t="s">
        <v>3</v>
      </c>
      <c r="E17" s="1"/>
    </row>
    <row r="18" spans="1:5" x14ac:dyDescent="0.25">
      <c r="A18" s="1"/>
      <c r="B18" s="24" t="s">
        <v>23</v>
      </c>
      <c r="C18" s="9">
        <v>0</v>
      </c>
      <c r="D18" s="8" t="s">
        <v>3</v>
      </c>
      <c r="E18" s="1"/>
    </row>
    <row r="19" spans="1:5" x14ac:dyDescent="0.25">
      <c r="A19" s="1"/>
      <c r="B19" s="75" t="s">
        <v>19</v>
      </c>
      <c r="C19" s="10">
        <v>12591437.443255989</v>
      </c>
      <c r="D19" s="11" t="s">
        <v>3</v>
      </c>
      <c r="E19" s="1"/>
    </row>
    <row r="20" spans="1:5" x14ac:dyDescent="0.25">
      <c r="A20" s="1"/>
      <c r="B20" s="51" t="s">
        <v>11</v>
      </c>
      <c r="C20" s="52"/>
      <c r="D20" s="19"/>
      <c r="E20" s="1"/>
    </row>
    <row r="21" spans="1:5" x14ac:dyDescent="0.25">
      <c r="A21" s="1"/>
      <c r="B21" s="53" t="s">
        <v>11</v>
      </c>
      <c r="C21" s="10">
        <v>18938192.760711361</v>
      </c>
      <c r="D21" s="11" t="s">
        <v>3</v>
      </c>
      <c r="E21" s="1"/>
    </row>
    <row r="22" spans="1:5" x14ac:dyDescent="0.25">
      <c r="A22" s="1"/>
      <c r="B22" s="51" t="s">
        <v>75</v>
      </c>
      <c r="C22" s="52"/>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5" t="s">
        <v>76</v>
      </c>
      <c r="C27" s="56">
        <v>0</v>
      </c>
      <c r="D27" s="11" t="s">
        <v>3</v>
      </c>
      <c r="E27" s="1"/>
    </row>
    <row r="28" spans="1:5" x14ac:dyDescent="0.25">
      <c r="A28" s="1"/>
      <c r="B28" s="26" t="s">
        <v>117</v>
      </c>
      <c r="C28" s="52"/>
      <c r="D28" s="19"/>
      <c r="E28" s="1"/>
    </row>
    <row r="29" spans="1:5" x14ac:dyDescent="0.25">
      <c r="A29" s="1"/>
      <c r="B29" s="74" t="s">
        <v>118</v>
      </c>
      <c r="C29" s="10">
        <v>-837649.25260213763</v>
      </c>
      <c r="D29" s="11" t="s">
        <v>3</v>
      </c>
      <c r="E29" s="1"/>
    </row>
    <row r="30" spans="1:5" x14ac:dyDescent="0.25">
      <c r="A30" s="1"/>
      <c r="B30" s="26" t="s">
        <v>138</v>
      </c>
      <c r="C30" s="52"/>
      <c r="D30" s="19"/>
      <c r="E30" s="1"/>
    </row>
    <row r="31" spans="1:5" x14ac:dyDescent="0.25">
      <c r="A31" s="1"/>
      <c r="B31" s="74" t="s">
        <v>139</v>
      </c>
      <c r="C31" s="10">
        <v>0</v>
      </c>
      <c r="D31" s="11" t="s">
        <v>3</v>
      </c>
      <c r="E31" s="1"/>
    </row>
    <row r="32" spans="1:5" x14ac:dyDescent="0.25">
      <c r="A32" s="1"/>
      <c r="B32" s="51" t="s">
        <v>239</v>
      </c>
      <c r="C32" s="33">
        <v>30691980.95136521</v>
      </c>
      <c r="D32" s="19" t="s">
        <v>3</v>
      </c>
      <c r="E32" s="1"/>
    </row>
    <row r="33" spans="1:5" ht="30" customHeight="1" x14ac:dyDescent="0.25">
      <c r="A33" s="1"/>
      <c r="B33" s="101" t="s">
        <v>240</v>
      </c>
      <c r="C33" s="101"/>
      <c r="D33" s="10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uXORLwhKkGKfkhGON35U8lprwKdjT8ZXefBvmjx1lvKlHvUuXz6AGSnWkUF2T4yQtp4Mj0I5SawIuaSDCOmKbw==" saltValue="GFrm0noen4hunaGik98HKA=="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2" t="s">
        <v>90</v>
      </c>
      <c r="C1" s="102"/>
      <c r="D1" s="102"/>
      <c r="E1" s="102"/>
      <c r="F1" s="102"/>
      <c r="G1" s="102"/>
      <c r="H1" s="102"/>
      <c r="I1" s="1"/>
    </row>
    <row r="2" spans="1:9" ht="15" customHeight="1" x14ac:dyDescent="0.25">
      <c r="A2" s="1"/>
      <c r="B2" s="102"/>
      <c r="C2" s="102"/>
      <c r="D2" s="102"/>
      <c r="E2" s="102"/>
      <c r="F2" s="102"/>
      <c r="G2" s="102"/>
      <c r="H2" s="102"/>
      <c r="I2" s="1"/>
    </row>
    <row r="3" spans="1:9" ht="15" customHeight="1" x14ac:dyDescent="0.25">
      <c r="A3" s="1"/>
      <c r="B3" s="102"/>
      <c r="C3" s="102"/>
      <c r="D3" s="102"/>
      <c r="E3" s="102"/>
      <c r="F3" s="102"/>
      <c r="G3" s="102"/>
      <c r="H3" s="102"/>
      <c r="I3" s="1"/>
    </row>
    <row r="4" spans="1:9" x14ac:dyDescent="0.25">
      <c r="A4" s="1"/>
      <c r="B4" s="103" t="s">
        <v>44</v>
      </c>
      <c r="C4" s="104"/>
      <c r="D4" s="104"/>
      <c r="E4" s="104"/>
      <c r="F4" s="104"/>
      <c r="G4" s="104"/>
      <c r="H4" s="105"/>
      <c r="I4" s="1"/>
    </row>
    <row r="5" spans="1:9" x14ac:dyDescent="0.25">
      <c r="A5" s="1"/>
      <c r="B5" s="106" t="s">
        <v>36</v>
      </c>
      <c r="C5" s="107"/>
      <c r="D5" s="107"/>
      <c r="E5" s="107"/>
      <c r="F5" s="108"/>
      <c r="G5" s="47">
        <v>8580392.7710526492</v>
      </c>
      <c r="H5" s="14" t="s">
        <v>3</v>
      </c>
      <c r="I5" s="1"/>
    </row>
    <row r="6" spans="1:9" x14ac:dyDescent="0.25">
      <c r="A6" s="1"/>
      <c r="B6" s="106" t="s">
        <v>37</v>
      </c>
      <c r="C6" s="107"/>
      <c r="D6" s="107"/>
      <c r="E6" s="107"/>
      <c r="F6" s="108"/>
      <c r="G6" s="22">
        <f>G5*'Fane 13. Nøgletal'!C33</f>
        <v>171607.85542105298</v>
      </c>
      <c r="H6" s="14" t="s">
        <v>3</v>
      </c>
      <c r="I6" s="1"/>
    </row>
    <row r="7" spans="1:9" x14ac:dyDescent="0.25">
      <c r="A7" s="1"/>
      <c r="B7" s="51"/>
      <c r="C7" s="52"/>
      <c r="D7" s="52"/>
      <c r="E7" s="52"/>
      <c r="F7" s="52"/>
      <c r="G7" s="35"/>
      <c r="H7" s="19"/>
      <c r="I7" s="1"/>
    </row>
    <row r="8" spans="1:9" x14ac:dyDescent="0.25">
      <c r="A8" s="1"/>
      <c r="B8" s="1"/>
      <c r="C8" s="1"/>
      <c r="D8" s="1"/>
      <c r="E8" s="1"/>
      <c r="F8" s="1"/>
      <c r="G8" s="36"/>
      <c r="H8" s="1"/>
      <c r="I8" s="1"/>
    </row>
    <row r="9" spans="1:9" x14ac:dyDescent="0.25">
      <c r="A9" s="1"/>
      <c r="B9" s="103" t="s">
        <v>45</v>
      </c>
      <c r="C9" s="104"/>
      <c r="D9" s="104"/>
      <c r="E9" s="104"/>
      <c r="F9" s="104"/>
      <c r="G9" s="104"/>
      <c r="H9" s="105"/>
      <c r="I9" s="1"/>
    </row>
    <row r="10" spans="1:9" x14ac:dyDescent="0.25">
      <c r="A10" s="1"/>
      <c r="B10" s="106" t="s">
        <v>38</v>
      </c>
      <c r="C10" s="107"/>
      <c r="D10" s="107"/>
      <c r="E10" s="107"/>
      <c r="F10" s="108"/>
      <c r="G10" s="22">
        <f>(G5-G6)*(1+'Fane 13. Nøgletal'!C9)</f>
        <v>8515576.4840601161</v>
      </c>
      <c r="H10" s="14" t="s">
        <v>3</v>
      </c>
      <c r="I10" s="1"/>
    </row>
    <row r="11" spans="1:9" x14ac:dyDescent="0.25">
      <c r="A11" s="1"/>
      <c r="B11" s="109" t="s">
        <v>228</v>
      </c>
      <c r="C11" s="110"/>
      <c r="D11" s="110"/>
      <c r="E11" s="110"/>
      <c r="F11" s="111"/>
      <c r="G11" s="47">
        <v>0</v>
      </c>
      <c r="H11" s="14" t="s">
        <v>3</v>
      </c>
      <c r="I11" s="1"/>
    </row>
    <row r="12" spans="1:9" x14ac:dyDescent="0.25">
      <c r="A12" s="1"/>
      <c r="B12" s="106" t="s">
        <v>39</v>
      </c>
      <c r="C12" s="107"/>
      <c r="D12" s="107"/>
      <c r="E12" s="107"/>
      <c r="F12" s="108"/>
      <c r="G12" s="22">
        <f>(G10+G11)*'Fane 13. Nøgletal'!C33</f>
        <v>170311.52968120232</v>
      </c>
      <c r="H12" s="14" t="s">
        <v>3</v>
      </c>
      <c r="I12" s="1"/>
    </row>
    <row r="13" spans="1:9" x14ac:dyDescent="0.25">
      <c r="A13" s="1"/>
      <c r="B13" s="51"/>
      <c r="C13" s="52"/>
      <c r="D13" s="52"/>
      <c r="E13" s="52"/>
      <c r="F13" s="52"/>
      <c r="G13" s="35"/>
      <c r="H13" s="19"/>
      <c r="I13" s="1"/>
    </row>
    <row r="14" spans="1:9" x14ac:dyDescent="0.25">
      <c r="A14" s="1"/>
      <c r="B14" s="1"/>
      <c r="C14" s="1"/>
      <c r="D14" s="1"/>
      <c r="E14" s="1"/>
      <c r="F14" s="1"/>
      <c r="G14" s="36"/>
      <c r="H14" s="1"/>
      <c r="I14" s="1"/>
    </row>
    <row r="15" spans="1:9" x14ac:dyDescent="0.25">
      <c r="A15" s="1"/>
      <c r="B15" s="103" t="s">
        <v>46</v>
      </c>
      <c r="C15" s="104"/>
      <c r="D15" s="104"/>
      <c r="E15" s="104"/>
      <c r="F15" s="104"/>
      <c r="G15" s="104"/>
      <c r="H15" s="105"/>
      <c r="I15" s="1"/>
    </row>
    <row r="16" spans="1:9" x14ac:dyDescent="0.25">
      <c r="A16" s="1"/>
      <c r="B16" s="106" t="s">
        <v>40</v>
      </c>
      <c r="C16" s="107"/>
      <c r="D16" s="107"/>
      <c r="E16" s="107"/>
      <c r="F16" s="108"/>
      <c r="G16" s="22">
        <f>(G10+G11-G12)*(1+'Fane 13. Nøgletal'!C11)</f>
        <v>8486299.9321079161</v>
      </c>
      <c r="H16" s="14" t="s">
        <v>3</v>
      </c>
      <c r="I16" s="1"/>
    </row>
    <row r="17" spans="1:9" x14ac:dyDescent="0.25">
      <c r="A17" s="1"/>
      <c r="B17" s="106" t="s">
        <v>100</v>
      </c>
      <c r="C17" s="107"/>
      <c r="D17" s="107"/>
      <c r="E17" s="107"/>
      <c r="F17" s="108"/>
      <c r="G17" s="47">
        <v>0</v>
      </c>
      <c r="H17" s="14" t="s">
        <v>3</v>
      </c>
      <c r="I17" s="1"/>
    </row>
    <row r="18" spans="1:9" x14ac:dyDescent="0.25">
      <c r="A18" s="1"/>
      <c r="B18" s="109" t="s">
        <v>229</v>
      </c>
      <c r="C18" s="110"/>
      <c r="D18" s="110"/>
      <c r="E18" s="110"/>
      <c r="F18" s="111"/>
      <c r="G18" s="47">
        <v>0</v>
      </c>
      <c r="H18" s="14" t="s">
        <v>3</v>
      </c>
      <c r="I18" s="1"/>
    </row>
    <row r="19" spans="1:9" x14ac:dyDescent="0.25">
      <c r="A19" s="1"/>
      <c r="B19" s="106" t="s">
        <v>41</v>
      </c>
      <c r="C19" s="107"/>
      <c r="D19" s="107"/>
      <c r="E19" s="107"/>
      <c r="F19" s="108"/>
      <c r="G19" s="22">
        <f>SUM(G16:G18)*'Fane 13. Nøgletal'!C33</f>
        <v>169725.99864215832</v>
      </c>
      <c r="H19" s="14" t="s">
        <v>3</v>
      </c>
      <c r="I19" s="1"/>
    </row>
    <row r="20" spans="1:9" x14ac:dyDescent="0.25">
      <c r="A20" s="1"/>
      <c r="B20" s="51"/>
      <c r="C20" s="52"/>
      <c r="D20" s="52"/>
      <c r="E20" s="52"/>
      <c r="F20" s="52"/>
      <c r="G20" s="35"/>
      <c r="H20" s="19"/>
      <c r="I20" s="1"/>
    </row>
    <row r="21" spans="1:9" x14ac:dyDescent="0.25">
      <c r="A21" s="1"/>
      <c r="B21" s="1"/>
      <c r="C21" s="1"/>
      <c r="D21" s="1"/>
      <c r="E21" s="1"/>
      <c r="F21" s="1"/>
      <c r="G21" s="36"/>
      <c r="H21" s="1"/>
      <c r="I21" s="1"/>
    </row>
    <row r="22" spans="1:9" x14ac:dyDescent="0.25">
      <c r="A22" s="1"/>
      <c r="B22" s="103" t="s">
        <v>47</v>
      </c>
      <c r="C22" s="104"/>
      <c r="D22" s="104"/>
      <c r="E22" s="104"/>
      <c r="F22" s="104"/>
      <c r="G22" s="104"/>
      <c r="H22" s="105"/>
      <c r="I22" s="1"/>
    </row>
    <row r="23" spans="1:9" x14ac:dyDescent="0.25">
      <c r="A23" s="1"/>
      <c r="B23" s="106" t="s">
        <v>42</v>
      </c>
      <c r="C23" s="107"/>
      <c r="D23" s="107"/>
      <c r="E23" s="107"/>
      <c r="F23" s="108"/>
      <c r="G23" s="22">
        <f>(SUM(G16:G18)-G19)*(1+'Fane 13. Nøgletal'!C11)</f>
        <v>8457124.0329413284</v>
      </c>
      <c r="H23" s="14" t="s">
        <v>3</v>
      </c>
      <c r="I23" s="1"/>
    </row>
    <row r="24" spans="1:9" x14ac:dyDescent="0.25">
      <c r="A24" s="1"/>
      <c r="B24" s="109" t="s">
        <v>230</v>
      </c>
      <c r="C24" s="110"/>
      <c r="D24" s="110"/>
      <c r="E24" s="110"/>
      <c r="F24" s="111"/>
      <c r="G24" s="47">
        <v>0</v>
      </c>
      <c r="H24" s="14" t="s">
        <v>3</v>
      </c>
      <c r="I24" s="1"/>
    </row>
    <row r="25" spans="1:9" x14ac:dyDescent="0.25">
      <c r="A25" s="1"/>
      <c r="B25" s="106" t="s">
        <v>43</v>
      </c>
      <c r="C25" s="107"/>
      <c r="D25" s="107"/>
      <c r="E25" s="107"/>
      <c r="F25" s="108"/>
      <c r="G25" s="22">
        <f>(G23+G24)*'Fane 13. Nøgletal'!C33</f>
        <v>169142.48065882656</v>
      </c>
      <c r="H25" s="14" t="s">
        <v>3</v>
      </c>
      <c r="I25" s="1"/>
    </row>
    <row r="26" spans="1:9" x14ac:dyDescent="0.25">
      <c r="A26" s="1"/>
      <c r="B26" s="51"/>
      <c r="C26" s="52"/>
      <c r="D26" s="52"/>
      <c r="E26" s="52"/>
      <c r="F26" s="52"/>
      <c r="G26" s="35"/>
      <c r="H26" s="19"/>
      <c r="I26" s="1"/>
    </row>
    <row r="27" spans="1:9" x14ac:dyDescent="0.25">
      <c r="A27" s="1"/>
      <c r="B27" s="1"/>
      <c r="C27" s="1"/>
      <c r="D27" s="1"/>
      <c r="E27" s="1"/>
      <c r="F27" s="1"/>
      <c r="G27" s="36"/>
      <c r="H27" s="1"/>
      <c r="I27" s="1"/>
    </row>
    <row r="28" spans="1:9" x14ac:dyDescent="0.25">
      <c r="A28" s="1"/>
      <c r="B28" s="103" t="s">
        <v>121</v>
      </c>
      <c r="C28" s="104"/>
      <c r="D28" s="104"/>
      <c r="E28" s="104"/>
      <c r="F28" s="104"/>
      <c r="G28" s="104"/>
      <c r="H28" s="105"/>
      <c r="I28" s="1"/>
    </row>
    <row r="29" spans="1:9" x14ac:dyDescent="0.25">
      <c r="A29" s="1"/>
      <c r="B29" s="106" t="s">
        <v>50</v>
      </c>
      <c r="C29" s="107"/>
      <c r="D29" s="107"/>
      <c r="E29" s="107"/>
      <c r="F29" s="108"/>
      <c r="G29" s="22">
        <f>(G23+G24-G25)*(1+'Fane 13. Nøgletal'!C13)</f>
        <v>8389094.9272203483</v>
      </c>
      <c r="H29" s="14" t="s">
        <v>3</v>
      </c>
      <c r="I29" s="1"/>
    </row>
    <row r="30" spans="1:9" x14ac:dyDescent="0.25">
      <c r="A30" s="1"/>
      <c r="B30" s="106" t="s">
        <v>231</v>
      </c>
      <c r="C30" s="107"/>
      <c r="D30" s="107"/>
      <c r="E30" s="107"/>
      <c r="F30" s="108"/>
      <c r="G30" s="47">
        <v>0</v>
      </c>
      <c r="H30" s="14" t="s">
        <v>3</v>
      </c>
      <c r="I30" s="1"/>
    </row>
    <row r="31" spans="1:9" x14ac:dyDescent="0.25">
      <c r="A31" s="1"/>
      <c r="B31" s="106" t="s">
        <v>115</v>
      </c>
      <c r="C31" s="107"/>
      <c r="D31" s="107"/>
      <c r="E31" s="107"/>
      <c r="F31" s="108"/>
      <c r="G31" s="22">
        <f>(G29+G30)*'Fane 13. Nøgletal'!C33</f>
        <v>167781.89854440695</v>
      </c>
      <c r="H31" s="14" t="s">
        <v>3</v>
      </c>
      <c r="I31" s="1"/>
    </row>
    <row r="32" spans="1:9" x14ac:dyDescent="0.25">
      <c r="A32" s="1"/>
      <c r="B32" s="51"/>
      <c r="C32" s="52"/>
      <c r="D32" s="52"/>
      <c r="E32" s="52"/>
      <c r="F32" s="52"/>
      <c r="G32" s="35"/>
      <c r="H32" s="19"/>
      <c r="I32" s="1"/>
    </row>
    <row r="33" spans="1:9" x14ac:dyDescent="0.25">
      <c r="A33" s="1"/>
      <c r="B33" s="1"/>
      <c r="C33" s="1"/>
      <c r="D33" s="1"/>
      <c r="E33" s="1"/>
      <c r="F33" s="1"/>
      <c r="G33" s="36"/>
      <c r="H33" s="1"/>
      <c r="I33" s="1"/>
    </row>
    <row r="34" spans="1:9" x14ac:dyDescent="0.25">
      <c r="A34" s="1"/>
      <c r="B34" s="103" t="s">
        <v>122</v>
      </c>
      <c r="C34" s="104"/>
      <c r="D34" s="104"/>
      <c r="E34" s="104"/>
      <c r="F34" s="104"/>
      <c r="G34" s="104"/>
      <c r="H34" s="105"/>
      <c r="I34" s="1"/>
    </row>
    <row r="35" spans="1:9" x14ac:dyDescent="0.25">
      <c r="A35" s="1"/>
      <c r="B35" s="106" t="s">
        <v>69</v>
      </c>
      <c r="C35" s="107"/>
      <c r="D35" s="107"/>
      <c r="E35" s="107"/>
      <c r="F35" s="108"/>
      <c r="G35" s="22">
        <f>(G29+G30-G31)*(1+'Fane 13. Nøgletal'!C13)</f>
        <v>8321613.0476257885</v>
      </c>
      <c r="H35" s="14" t="s">
        <v>3</v>
      </c>
      <c r="I35" s="1"/>
    </row>
    <row r="36" spans="1:9" x14ac:dyDescent="0.25">
      <c r="A36" s="1"/>
      <c r="B36" s="106" t="s">
        <v>232</v>
      </c>
      <c r="C36" s="107"/>
      <c r="D36" s="107"/>
      <c r="E36" s="107"/>
      <c r="F36" s="108"/>
      <c r="G36" s="47">
        <v>0</v>
      </c>
      <c r="H36" s="14" t="s">
        <v>3</v>
      </c>
      <c r="I36" s="1"/>
    </row>
    <row r="37" spans="1:9" x14ac:dyDescent="0.25">
      <c r="A37" s="1"/>
      <c r="B37" s="106" t="s">
        <v>123</v>
      </c>
      <c r="C37" s="107"/>
      <c r="D37" s="107"/>
      <c r="E37" s="107"/>
      <c r="F37" s="108"/>
      <c r="G37" s="22">
        <f>(G35+G36)*'Fane 13. Nøgletal'!C33</f>
        <v>166432.26095251576</v>
      </c>
      <c r="H37" s="14" t="s">
        <v>3</v>
      </c>
      <c r="I37" s="1"/>
    </row>
    <row r="38" spans="1:9" x14ac:dyDescent="0.25">
      <c r="A38" s="1"/>
      <c r="B38" s="51"/>
      <c r="C38" s="52"/>
      <c r="D38" s="52"/>
      <c r="E38" s="52"/>
      <c r="F38" s="52"/>
      <c r="G38" s="35"/>
      <c r="H38" s="19"/>
      <c r="I38" s="1"/>
    </row>
    <row r="39" spans="1:9" x14ac:dyDescent="0.25">
      <c r="A39" s="1"/>
      <c r="B39" s="1"/>
      <c r="C39" s="1"/>
      <c r="D39" s="1"/>
      <c r="E39" s="1"/>
      <c r="F39" s="1"/>
      <c r="G39" s="36"/>
      <c r="H39" s="1"/>
      <c r="I39" s="1"/>
    </row>
    <row r="40" spans="1:9" x14ac:dyDescent="0.25">
      <c r="A40" s="1"/>
      <c r="B40" s="103" t="s">
        <v>157</v>
      </c>
      <c r="C40" s="104"/>
      <c r="D40" s="104"/>
      <c r="E40" s="104"/>
      <c r="F40" s="104"/>
      <c r="G40" s="104"/>
      <c r="H40" s="105"/>
      <c r="I40" s="1"/>
    </row>
    <row r="41" spans="1:9" x14ac:dyDescent="0.25">
      <c r="A41" s="1"/>
      <c r="B41" s="106" t="s">
        <v>68</v>
      </c>
      <c r="C41" s="107"/>
      <c r="D41" s="107"/>
      <c r="E41" s="107"/>
      <c r="F41" s="108"/>
      <c r="G41" s="22">
        <f>(G35+G36-G37)*(1+'Fane 13. Nøgletal'!C15)</f>
        <v>8445505.222678842</v>
      </c>
      <c r="H41" s="14" t="s">
        <v>3</v>
      </c>
      <c r="I41" s="1"/>
    </row>
    <row r="42" spans="1:9" x14ac:dyDescent="0.25">
      <c r="A42" s="1"/>
      <c r="B42" s="106" t="s">
        <v>156</v>
      </c>
      <c r="C42" s="107"/>
      <c r="D42" s="107"/>
      <c r="E42" s="107"/>
      <c r="F42" s="108"/>
      <c r="G42" s="58">
        <v>0</v>
      </c>
      <c r="H42" s="14" t="s">
        <v>3</v>
      </c>
      <c r="I42" s="1"/>
    </row>
    <row r="43" spans="1:9" x14ac:dyDescent="0.25">
      <c r="A43" s="1"/>
      <c r="B43" s="106" t="s">
        <v>166</v>
      </c>
      <c r="C43" s="107"/>
      <c r="D43" s="107"/>
      <c r="E43" s="107"/>
      <c r="F43" s="108"/>
      <c r="G43" s="22">
        <f>(G41+G42)*'Fane 13. Nøgletal'!C33</f>
        <v>168910.10445357685</v>
      </c>
      <c r="H43" s="14" t="s">
        <v>3</v>
      </c>
      <c r="I43" s="1"/>
    </row>
    <row r="44" spans="1:9" x14ac:dyDescent="0.25">
      <c r="A44" s="1"/>
      <c r="B44" s="51"/>
      <c r="C44" s="52"/>
      <c r="D44" s="52"/>
      <c r="E44" s="52"/>
      <c r="F44" s="52"/>
      <c r="G44" s="35"/>
      <c r="H44" s="19"/>
      <c r="I44" s="1"/>
    </row>
    <row r="45" spans="1:9" x14ac:dyDescent="0.25">
      <c r="A45" s="1"/>
      <c r="B45" s="1"/>
      <c r="C45" s="1"/>
      <c r="D45" s="1"/>
      <c r="E45" s="1"/>
      <c r="F45" s="1"/>
      <c r="G45" s="36"/>
      <c r="H45" s="1"/>
      <c r="I45" s="1"/>
    </row>
    <row r="46" spans="1:9" x14ac:dyDescent="0.25">
      <c r="A46" s="1"/>
      <c r="B46" s="103" t="s">
        <v>158</v>
      </c>
      <c r="C46" s="104"/>
      <c r="D46" s="104"/>
      <c r="E46" s="104"/>
      <c r="F46" s="104"/>
      <c r="G46" s="104"/>
      <c r="H46" s="105"/>
      <c r="I46" s="1"/>
    </row>
    <row r="47" spans="1:9" x14ac:dyDescent="0.25">
      <c r="A47" s="1"/>
      <c r="B47" s="106" t="s">
        <v>112</v>
      </c>
      <c r="C47" s="107"/>
      <c r="D47" s="107"/>
      <c r="E47" s="107"/>
      <c r="F47" s="108"/>
      <c r="G47" s="22">
        <f>(G41+G42-G43)*(1+'Fane 13. Nøgletal'!C15)</f>
        <v>8571241.9044340849</v>
      </c>
      <c r="H47" s="14" t="s">
        <v>3</v>
      </c>
      <c r="I47" s="1"/>
    </row>
    <row r="48" spans="1:9" x14ac:dyDescent="0.25">
      <c r="A48" s="1"/>
      <c r="B48" s="106" t="s">
        <v>206</v>
      </c>
      <c r="C48" s="107"/>
      <c r="D48" s="107"/>
      <c r="E48" s="107"/>
      <c r="F48" s="108"/>
      <c r="G48" s="22">
        <f>('Fane 2.1. Økonomisk ramme 2024'!C9+'Fane 2.1. Økonomisk ramme 2024'!C11+'Fane 2.1. Økonomisk ramme 2024'!C13)*(1+'Fane 13. Nøgletal'!C16)</f>
        <v>1099457.8616403199</v>
      </c>
      <c r="H48" s="14" t="s">
        <v>3</v>
      </c>
      <c r="I48" s="1"/>
    </row>
    <row r="49" spans="1:9" x14ac:dyDescent="0.25">
      <c r="A49" s="1"/>
      <c r="B49" s="106" t="s">
        <v>167</v>
      </c>
      <c r="C49" s="107"/>
      <c r="D49" s="107"/>
      <c r="E49" s="107"/>
      <c r="F49" s="108"/>
      <c r="G49" s="22">
        <f>G47*'Fane 13. Nøgletal'!C33+G48*'Fane 13. Nøgletal'!C33</f>
        <v>193413.9953214881</v>
      </c>
      <c r="H49" s="14" t="s">
        <v>3</v>
      </c>
      <c r="I49" s="1"/>
    </row>
    <row r="50" spans="1:9" x14ac:dyDescent="0.25">
      <c r="A50" s="1"/>
      <c r="B50" s="51"/>
      <c r="C50" s="52"/>
      <c r="D50" s="52"/>
      <c r="E50" s="52"/>
      <c r="F50" s="52"/>
      <c r="G50" s="35"/>
      <c r="H50" s="19"/>
      <c r="I50" s="1"/>
    </row>
    <row r="51" spans="1:9" x14ac:dyDescent="0.25">
      <c r="A51" s="1"/>
      <c r="B51" s="1"/>
      <c r="C51" s="1"/>
      <c r="D51" s="1"/>
      <c r="E51" s="1"/>
      <c r="F51" s="1"/>
      <c r="G51" s="36"/>
      <c r="H51" s="1"/>
      <c r="I51" s="1"/>
    </row>
    <row r="52" spans="1:9" x14ac:dyDescent="0.25">
      <c r="A52" s="1"/>
      <c r="B52" s="103" t="s">
        <v>133</v>
      </c>
      <c r="C52" s="104"/>
      <c r="D52" s="104"/>
      <c r="E52" s="104"/>
      <c r="F52" s="104"/>
      <c r="G52" s="104"/>
      <c r="H52" s="105"/>
      <c r="I52" s="1"/>
    </row>
    <row r="53" spans="1:9" x14ac:dyDescent="0.25">
      <c r="A53" s="1"/>
      <c r="B53" s="106" t="s">
        <v>134</v>
      </c>
      <c r="C53" s="107"/>
      <c r="D53" s="107"/>
      <c r="E53" s="107"/>
      <c r="F53" s="108"/>
      <c r="G53" s="22">
        <f>(G47+G48-G49)*(1+'Fane 13. Nøgletal'!C16)</f>
        <v>10243050.461029751</v>
      </c>
      <c r="H53" s="14" t="s">
        <v>3</v>
      </c>
      <c r="I53" s="1"/>
    </row>
    <row r="54" spans="1:9" x14ac:dyDescent="0.25">
      <c r="A54" s="1"/>
      <c r="B54" s="106" t="s">
        <v>135</v>
      </c>
      <c r="C54" s="107"/>
      <c r="D54" s="107"/>
      <c r="E54" s="107"/>
      <c r="F54" s="108"/>
      <c r="G54" s="22">
        <f>(G53)*'Fane 13. Nøgletal'!C33</f>
        <v>204861.00922059504</v>
      </c>
      <c r="H54" s="14" t="s">
        <v>3</v>
      </c>
      <c r="I54" s="1"/>
    </row>
    <row r="55" spans="1:9" x14ac:dyDescent="0.25">
      <c r="A55" s="1"/>
      <c r="B55" s="51"/>
      <c r="C55" s="52"/>
      <c r="D55" s="52"/>
      <c r="E55" s="52"/>
      <c r="F55" s="52"/>
      <c r="G55" s="35"/>
      <c r="H55" s="19"/>
      <c r="I55" s="1"/>
    </row>
    <row r="56" spans="1:9" x14ac:dyDescent="0.25">
      <c r="A56" s="1"/>
      <c r="B56" s="1"/>
      <c r="C56" s="1"/>
      <c r="D56" s="1"/>
      <c r="E56" s="1"/>
      <c r="F56" s="1"/>
      <c r="G56" s="36"/>
      <c r="H56" s="1"/>
      <c r="I56" s="1"/>
    </row>
    <row r="57" spans="1:9" x14ac:dyDescent="0.25">
      <c r="A57" s="1"/>
      <c r="B57" s="103" t="s">
        <v>144</v>
      </c>
      <c r="C57" s="104"/>
      <c r="D57" s="104"/>
      <c r="E57" s="104"/>
      <c r="F57" s="104"/>
      <c r="G57" s="104"/>
      <c r="H57" s="105"/>
      <c r="I57" s="1"/>
    </row>
    <row r="58" spans="1:9" x14ac:dyDescent="0.25">
      <c r="A58" s="1"/>
      <c r="B58" s="106" t="s">
        <v>145</v>
      </c>
      <c r="C58" s="107"/>
      <c r="D58" s="107"/>
      <c r="E58" s="107"/>
      <c r="F58" s="108"/>
      <c r="G58" s="22">
        <f>(G53-G54)*(1+'Fane 13. Nøgletal'!C16)</f>
        <v>10849275.159515336</v>
      </c>
      <c r="H58" s="14" t="s">
        <v>3</v>
      </c>
      <c r="I58" s="1"/>
    </row>
    <row r="59" spans="1:9" x14ac:dyDescent="0.25">
      <c r="A59" s="1"/>
      <c r="B59" s="106" t="s">
        <v>146</v>
      </c>
      <c r="C59" s="107"/>
      <c r="D59" s="107"/>
      <c r="E59" s="107"/>
      <c r="F59" s="108"/>
      <c r="G59" s="22">
        <f>(G58)*'Fane 13. Nøgletal'!C33</f>
        <v>216985.50319030671</v>
      </c>
      <c r="H59" s="14" t="s">
        <v>3</v>
      </c>
      <c r="I59" s="1"/>
    </row>
    <row r="60" spans="1:9" x14ac:dyDescent="0.25">
      <c r="A60" s="1"/>
      <c r="B60" s="51"/>
      <c r="C60" s="52"/>
      <c r="D60" s="52"/>
      <c r="E60" s="52"/>
      <c r="F60" s="52"/>
      <c r="G60" s="35"/>
      <c r="H60" s="19"/>
      <c r="I60" s="1"/>
    </row>
    <row r="61" spans="1:9" x14ac:dyDescent="0.25">
      <c r="A61" s="1"/>
      <c r="B61" s="1"/>
      <c r="C61" s="1"/>
      <c r="D61" s="1"/>
      <c r="E61" s="1"/>
      <c r="F61" s="1"/>
      <c r="G61" s="36"/>
      <c r="H61" s="1"/>
      <c r="I61" s="1"/>
    </row>
    <row r="62" spans="1:9" x14ac:dyDescent="0.25">
      <c r="A62" s="1"/>
      <c r="B62" s="103" t="s">
        <v>220</v>
      </c>
      <c r="C62" s="104"/>
      <c r="D62" s="104"/>
      <c r="E62" s="104"/>
      <c r="F62" s="104"/>
      <c r="G62" s="104"/>
      <c r="H62" s="105"/>
      <c r="I62" s="1"/>
    </row>
    <row r="63" spans="1:9" x14ac:dyDescent="0.25">
      <c r="A63" s="1"/>
      <c r="B63" s="106" t="s">
        <v>221</v>
      </c>
      <c r="C63" s="107"/>
      <c r="D63" s="107"/>
      <c r="E63" s="107"/>
      <c r="F63" s="108"/>
      <c r="G63" s="22">
        <f>(G58-G59)*(1+'Fane 13. Nøgletal'!C16)</f>
        <v>11491378.660556091</v>
      </c>
      <c r="H63" s="14" t="s">
        <v>3</v>
      </c>
      <c r="I63" s="1"/>
    </row>
    <row r="64" spans="1:9" x14ac:dyDescent="0.25">
      <c r="A64" s="1"/>
      <c r="B64" s="106" t="s">
        <v>222</v>
      </c>
      <c r="C64" s="107"/>
      <c r="D64" s="107"/>
      <c r="E64" s="107"/>
      <c r="F64" s="108"/>
      <c r="G64" s="22">
        <f>(G63)*'Fane 13. Nøgletal'!C33</f>
        <v>229827.57321112184</v>
      </c>
      <c r="H64" s="14" t="s">
        <v>3</v>
      </c>
      <c r="I64" s="1"/>
    </row>
    <row r="65" spans="1:9" x14ac:dyDescent="0.25">
      <c r="A65" s="1"/>
      <c r="B65" s="51"/>
      <c r="C65" s="52"/>
      <c r="D65" s="52"/>
      <c r="E65" s="52"/>
      <c r="F65" s="52"/>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S03XYhoP/9IecROnE9vHKKkDnpLuiCJDeXeEK07JtP39O6TAZECuR4lpxjFiYuYSbLu2K8odxuhmnXgm806haQ==" saltValue="u9h5DMDBq2XGl09Dx67BRg==" spinCount="100000" sheet="1" objects="1" scenarios="1"/>
  <mergeCells count="42">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7:F37"/>
    <mergeCell ref="B46:H46"/>
    <mergeCell ref="B48:F48"/>
    <mergeCell ref="B36:F36"/>
    <mergeCell ref="B57:H57"/>
    <mergeCell ref="B47:F47"/>
    <mergeCell ref="B49:F49"/>
    <mergeCell ref="B40:H40"/>
    <mergeCell ref="B41:F41"/>
    <mergeCell ref="B43:F43"/>
    <mergeCell ref="B42:F42"/>
    <mergeCell ref="B62:H62"/>
    <mergeCell ref="B63:F63"/>
    <mergeCell ref="B64:F64"/>
    <mergeCell ref="B59:F59"/>
    <mergeCell ref="B52:H52"/>
    <mergeCell ref="B53:F53"/>
    <mergeCell ref="B54:F54"/>
    <mergeCell ref="B58:F5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2" t="s">
        <v>91</v>
      </c>
      <c r="C1" s="113"/>
      <c r="D1" s="113"/>
      <c r="E1" s="113"/>
      <c r="F1" s="113"/>
      <c r="G1" s="113"/>
      <c r="H1" s="113"/>
      <c r="I1" s="1"/>
    </row>
    <row r="2" spans="1:9" ht="19.899999999999999" customHeight="1" x14ac:dyDescent="0.25">
      <c r="A2" s="1"/>
      <c r="B2" s="113"/>
      <c r="C2" s="113"/>
      <c r="D2" s="113"/>
      <c r="E2" s="113"/>
      <c r="F2" s="113"/>
      <c r="G2" s="113"/>
      <c r="H2" s="113"/>
      <c r="I2" s="1"/>
    </row>
    <row r="3" spans="1:9" ht="15" customHeight="1" x14ac:dyDescent="0.25">
      <c r="A3" s="1"/>
      <c r="B3" s="114"/>
      <c r="C3" s="114"/>
      <c r="D3" s="114"/>
      <c r="E3" s="114"/>
      <c r="F3" s="114"/>
      <c r="G3" s="114"/>
      <c r="H3" s="114"/>
      <c r="I3" s="1"/>
    </row>
    <row r="4" spans="1:9" x14ac:dyDescent="0.25">
      <c r="A4" s="1"/>
      <c r="B4" s="103" t="s">
        <v>48</v>
      </c>
      <c r="C4" s="104"/>
      <c r="D4" s="104"/>
      <c r="E4" s="104"/>
      <c r="F4" s="104"/>
      <c r="G4" s="104"/>
      <c r="H4" s="105"/>
      <c r="I4" s="1"/>
    </row>
    <row r="5" spans="1:9" x14ac:dyDescent="0.25">
      <c r="A5" s="1"/>
      <c r="B5" s="106" t="s">
        <v>51</v>
      </c>
      <c r="C5" s="107"/>
      <c r="D5" s="107"/>
      <c r="E5" s="107"/>
      <c r="F5" s="108"/>
      <c r="G5" s="47">
        <v>4768503.5598060368</v>
      </c>
      <c r="H5" s="14" t="s">
        <v>3</v>
      </c>
      <c r="I5" s="1"/>
    </row>
    <row r="6" spans="1:9" x14ac:dyDescent="0.25">
      <c r="A6" s="1"/>
      <c r="B6" s="106" t="s">
        <v>49</v>
      </c>
      <c r="C6" s="107"/>
      <c r="D6" s="107"/>
      <c r="E6" s="107"/>
      <c r="F6" s="108"/>
      <c r="G6" s="22">
        <f>G5*'Fane 13. Nøgletal'!C21</f>
        <v>43393.382394234934</v>
      </c>
      <c r="H6" s="14" t="s">
        <v>3</v>
      </c>
      <c r="I6" s="1"/>
    </row>
    <row r="7" spans="1:9" x14ac:dyDescent="0.25">
      <c r="A7" s="1"/>
      <c r="B7" s="51"/>
      <c r="C7" s="52"/>
      <c r="D7" s="52"/>
      <c r="E7" s="52"/>
      <c r="F7" s="52"/>
      <c r="G7" s="52"/>
      <c r="H7" s="19"/>
      <c r="I7" s="1"/>
    </row>
    <row r="8" spans="1:9" x14ac:dyDescent="0.25">
      <c r="A8" s="1"/>
      <c r="B8" s="1"/>
      <c r="C8" s="1"/>
      <c r="D8" s="1"/>
      <c r="E8" s="1"/>
      <c r="F8" s="1"/>
      <c r="G8" s="1"/>
      <c r="H8" s="1"/>
      <c r="I8" s="1"/>
    </row>
    <row r="9" spans="1:9" x14ac:dyDescent="0.25">
      <c r="A9" s="1"/>
      <c r="B9" s="103" t="s">
        <v>52</v>
      </c>
      <c r="C9" s="104"/>
      <c r="D9" s="104"/>
      <c r="E9" s="104"/>
      <c r="F9" s="104"/>
      <c r="G9" s="104"/>
      <c r="H9" s="105"/>
      <c r="I9" s="1"/>
    </row>
    <row r="10" spans="1:9" x14ac:dyDescent="0.25">
      <c r="A10" s="1"/>
      <c r="B10" s="106" t="s">
        <v>53</v>
      </c>
      <c r="C10" s="107"/>
      <c r="D10" s="107"/>
      <c r="E10" s="107"/>
      <c r="F10" s="108"/>
      <c r="G10" s="22">
        <f>(G5-G6)*(1+'Fane 13. Nøgletal'!C9)</f>
        <v>4785119.0766649321</v>
      </c>
      <c r="H10" s="14" t="s">
        <v>3</v>
      </c>
      <c r="I10" s="1"/>
    </row>
    <row r="11" spans="1:9" x14ac:dyDescent="0.25">
      <c r="A11" s="1"/>
      <c r="B11" s="109" t="s">
        <v>54</v>
      </c>
      <c r="C11" s="110"/>
      <c r="D11" s="110"/>
      <c r="E11" s="110"/>
      <c r="F11" s="111"/>
      <c r="G11" s="48">
        <v>0</v>
      </c>
      <c r="H11" s="14" t="s">
        <v>3</v>
      </c>
      <c r="I11" s="1"/>
    </row>
    <row r="12" spans="1:9" x14ac:dyDescent="0.25">
      <c r="A12" s="1"/>
      <c r="B12" s="106" t="s">
        <v>55</v>
      </c>
      <c r="C12" s="107"/>
      <c r="D12" s="107"/>
      <c r="E12" s="107"/>
      <c r="F12" s="108"/>
      <c r="G12" s="22">
        <f>G10*'Fane 13. Nøgletal'!C21+G11*'Fane 13. Nøgletal'!C22</f>
        <v>43544.583597650882</v>
      </c>
      <c r="H12" s="14" t="s">
        <v>3</v>
      </c>
      <c r="I12" s="1"/>
    </row>
    <row r="13" spans="1:9" x14ac:dyDescent="0.25">
      <c r="A13" s="1"/>
      <c r="B13" s="51"/>
      <c r="C13" s="52"/>
      <c r="D13" s="52"/>
      <c r="E13" s="52"/>
      <c r="F13" s="52"/>
      <c r="G13" s="52"/>
      <c r="H13" s="19"/>
      <c r="I13" s="1"/>
    </row>
    <row r="14" spans="1:9" x14ac:dyDescent="0.25">
      <c r="A14" s="1"/>
      <c r="B14" s="1"/>
      <c r="C14" s="1"/>
      <c r="D14" s="1"/>
      <c r="E14" s="1"/>
      <c r="F14" s="1"/>
      <c r="G14" s="1"/>
      <c r="H14" s="1"/>
      <c r="I14" s="1"/>
    </row>
    <row r="15" spans="1:9" x14ac:dyDescent="0.25">
      <c r="A15" s="1"/>
      <c r="B15" s="103" t="s">
        <v>56</v>
      </c>
      <c r="C15" s="104"/>
      <c r="D15" s="104"/>
      <c r="E15" s="104"/>
      <c r="F15" s="104"/>
      <c r="G15" s="104"/>
      <c r="H15" s="105"/>
      <c r="I15" s="1"/>
    </row>
    <row r="16" spans="1:9" x14ac:dyDescent="0.25">
      <c r="A16" s="1"/>
      <c r="B16" s="106" t="s">
        <v>57</v>
      </c>
      <c r="C16" s="107"/>
      <c r="D16" s="107"/>
      <c r="E16" s="107"/>
      <c r="F16" s="108"/>
      <c r="G16" s="22">
        <f>(G10+G11-G12)*(1+'Fane 13. Nøgletal'!C11)</f>
        <v>4821707.1020001182</v>
      </c>
      <c r="H16" s="14" t="s">
        <v>3</v>
      </c>
      <c r="I16" s="1"/>
    </row>
    <row r="17" spans="1:9" x14ac:dyDescent="0.25">
      <c r="A17" s="1"/>
      <c r="B17" s="106" t="s">
        <v>101</v>
      </c>
      <c r="C17" s="107"/>
      <c r="D17" s="107"/>
      <c r="E17" s="107"/>
      <c r="F17" s="108"/>
      <c r="G17" s="47">
        <v>-143201.8930653448</v>
      </c>
      <c r="H17" s="14" t="s">
        <v>3</v>
      </c>
      <c r="I17" s="1"/>
    </row>
    <row r="18" spans="1:9" x14ac:dyDescent="0.25">
      <c r="A18" s="1"/>
      <c r="B18" s="109" t="s">
        <v>58</v>
      </c>
      <c r="C18" s="110"/>
      <c r="D18" s="110"/>
      <c r="E18" s="110"/>
      <c r="F18" s="111"/>
      <c r="G18" s="47">
        <v>27009.282047589993</v>
      </c>
      <c r="H18" s="14" t="s">
        <v>3</v>
      </c>
      <c r="I18" s="1"/>
    </row>
    <row r="19" spans="1:9" x14ac:dyDescent="0.25">
      <c r="A19" s="1"/>
      <c r="B19" s="106" t="s">
        <v>59</v>
      </c>
      <c r="C19" s="107"/>
      <c r="D19" s="107"/>
      <c r="E19" s="107"/>
      <c r="F19" s="108"/>
      <c r="G19" s="22">
        <f>(G16+G17+G18)*'Fane 13. Nøgletal'!C23</f>
        <v>40937.97607154656</v>
      </c>
      <c r="H19" s="14" t="s">
        <v>3</v>
      </c>
      <c r="I19" s="1"/>
    </row>
    <row r="20" spans="1:9" x14ac:dyDescent="0.25">
      <c r="A20" s="1"/>
      <c r="B20" s="51"/>
      <c r="C20" s="52"/>
      <c r="D20" s="52"/>
      <c r="E20" s="52"/>
      <c r="F20" s="52"/>
      <c r="G20" s="52"/>
      <c r="H20" s="19"/>
      <c r="I20" s="1"/>
    </row>
    <row r="21" spans="1:9" x14ac:dyDescent="0.25">
      <c r="A21" s="1"/>
      <c r="B21" s="1"/>
      <c r="C21" s="1"/>
      <c r="D21" s="1"/>
      <c r="E21" s="1"/>
      <c r="F21" s="1"/>
      <c r="G21" s="1"/>
      <c r="H21" s="1"/>
      <c r="I21" s="1"/>
    </row>
    <row r="22" spans="1:9" x14ac:dyDescent="0.25">
      <c r="A22" s="1"/>
      <c r="B22" s="103" t="s">
        <v>60</v>
      </c>
      <c r="C22" s="104"/>
      <c r="D22" s="104"/>
      <c r="E22" s="104"/>
      <c r="F22" s="104"/>
      <c r="G22" s="104"/>
      <c r="H22" s="105"/>
      <c r="I22" s="1"/>
    </row>
    <row r="23" spans="1:9" x14ac:dyDescent="0.25">
      <c r="A23" s="1"/>
      <c r="B23" s="106" t="s">
        <v>61</v>
      </c>
      <c r="C23" s="107"/>
      <c r="D23" s="107"/>
      <c r="E23" s="107"/>
      <c r="F23" s="108"/>
      <c r="G23" s="22">
        <f>(SUM(G16:G18)-G19)*(1+'Fane 13. Nøgletal'!C11)</f>
        <v>4743407.8580128094</v>
      </c>
      <c r="H23" s="14" t="s">
        <v>3</v>
      </c>
      <c r="I23" s="1"/>
    </row>
    <row r="24" spans="1:9" x14ac:dyDescent="0.25">
      <c r="A24" s="1"/>
      <c r="B24" s="109" t="s">
        <v>62</v>
      </c>
      <c r="C24" s="110"/>
      <c r="D24" s="110"/>
      <c r="E24" s="110"/>
      <c r="F24" s="111"/>
      <c r="G24" s="47">
        <v>594050.06791785604</v>
      </c>
      <c r="H24" s="14" t="s">
        <v>3</v>
      </c>
      <c r="I24" s="1"/>
    </row>
    <row r="25" spans="1:9" x14ac:dyDescent="0.25">
      <c r="A25" s="1"/>
      <c r="B25" s="106" t="s">
        <v>63</v>
      </c>
      <c r="C25" s="107"/>
      <c r="D25" s="107"/>
      <c r="E25" s="107"/>
      <c r="F25" s="108"/>
      <c r="G25" s="22">
        <f>G23*'Fane 13. Nøgletal'!C23+G24*'Fane 13. Nøgletal'!C24</f>
        <v>58138.670293578551</v>
      </c>
      <c r="H25" s="14" t="s">
        <v>3</v>
      </c>
      <c r="I25" s="1"/>
    </row>
    <row r="26" spans="1:9" x14ac:dyDescent="0.25">
      <c r="A26" s="1"/>
      <c r="B26" s="51"/>
      <c r="C26" s="52"/>
      <c r="D26" s="52"/>
      <c r="E26" s="52"/>
      <c r="F26" s="52"/>
      <c r="G26" s="52"/>
      <c r="H26" s="19"/>
      <c r="I26" s="1"/>
    </row>
    <row r="27" spans="1:9" x14ac:dyDescent="0.25">
      <c r="A27" s="1"/>
      <c r="B27" s="1"/>
      <c r="C27" s="1"/>
      <c r="D27" s="1"/>
      <c r="E27" s="1"/>
      <c r="F27" s="1"/>
      <c r="G27" s="1"/>
      <c r="H27" s="1"/>
      <c r="I27" s="1"/>
    </row>
    <row r="28" spans="1:9" x14ac:dyDescent="0.25">
      <c r="A28" s="1"/>
      <c r="B28" s="103" t="s">
        <v>119</v>
      </c>
      <c r="C28" s="104"/>
      <c r="D28" s="104"/>
      <c r="E28" s="104"/>
      <c r="F28" s="104"/>
      <c r="G28" s="104"/>
      <c r="H28" s="105"/>
      <c r="I28" s="1"/>
    </row>
    <row r="29" spans="1:9" x14ac:dyDescent="0.25">
      <c r="A29" s="1"/>
      <c r="B29" s="106" t="s">
        <v>64</v>
      </c>
      <c r="C29" s="107"/>
      <c r="D29" s="107"/>
      <c r="E29" s="107"/>
      <c r="F29" s="108"/>
      <c r="G29" s="22">
        <f>(G23+G24-G25)*(1+'Fane 13. Nøgletal'!C13)</f>
        <v>5343726.9505558591</v>
      </c>
      <c r="H29" s="14" t="s">
        <v>3</v>
      </c>
      <c r="I29" s="1"/>
    </row>
    <row r="30" spans="1:9" x14ac:dyDescent="0.25">
      <c r="A30" s="1"/>
      <c r="B30" s="106" t="s">
        <v>113</v>
      </c>
      <c r="C30" s="107"/>
      <c r="D30" s="107"/>
      <c r="E30" s="107"/>
      <c r="F30" s="108"/>
      <c r="G30" s="47">
        <v>212463.76659732001</v>
      </c>
      <c r="H30" s="14" t="s">
        <v>3</v>
      </c>
      <c r="I30" s="1"/>
    </row>
    <row r="31" spans="1:9" x14ac:dyDescent="0.25">
      <c r="A31" s="1"/>
      <c r="B31" s="106" t="s">
        <v>120</v>
      </c>
      <c r="C31" s="107"/>
      <c r="D31" s="107"/>
      <c r="E31" s="107"/>
      <c r="F31" s="108"/>
      <c r="G31" s="22">
        <f>(G29+G30)*'Fane 13. Nøgletal'!C25</f>
        <v>152795.24472171243</v>
      </c>
      <c r="H31" s="14" t="s">
        <v>3</v>
      </c>
      <c r="I31" s="1"/>
    </row>
    <row r="32" spans="1:9" x14ac:dyDescent="0.25">
      <c r="A32" s="1"/>
      <c r="B32" s="51"/>
      <c r="C32" s="52"/>
      <c r="D32" s="52"/>
      <c r="E32" s="52"/>
      <c r="F32" s="52"/>
      <c r="G32" s="52"/>
      <c r="H32" s="19"/>
      <c r="I32" s="1"/>
    </row>
    <row r="33" spans="1:9" x14ac:dyDescent="0.25">
      <c r="A33" s="1"/>
      <c r="B33" s="1"/>
      <c r="C33" s="1"/>
      <c r="D33" s="1"/>
      <c r="E33" s="1"/>
      <c r="F33" s="1"/>
      <c r="G33" s="1"/>
      <c r="H33" s="1"/>
      <c r="I33" s="1"/>
    </row>
    <row r="34" spans="1:9" x14ac:dyDescent="0.25">
      <c r="A34" s="1"/>
      <c r="B34" s="103" t="s">
        <v>124</v>
      </c>
      <c r="C34" s="104"/>
      <c r="D34" s="104"/>
      <c r="E34" s="104"/>
      <c r="F34" s="104"/>
      <c r="G34" s="104"/>
      <c r="H34" s="105"/>
      <c r="I34" s="1"/>
    </row>
    <row r="35" spans="1:9" x14ac:dyDescent="0.25">
      <c r="A35" s="1"/>
      <c r="B35" s="106" t="s">
        <v>67</v>
      </c>
      <c r="C35" s="107"/>
      <c r="D35" s="107"/>
      <c r="E35" s="107"/>
      <c r="F35" s="108"/>
      <c r="G35" s="22">
        <f>(G29+G30-G31)*(1+'Fane 13. Nøgletal'!C13)</f>
        <v>5469316.8971951306</v>
      </c>
      <c r="H35" s="14" t="s">
        <v>3</v>
      </c>
      <c r="I35" s="1"/>
    </row>
    <row r="36" spans="1:9" x14ac:dyDescent="0.25">
      <c r="A36" s="1"/>
      <c r="B36" s="106" t="s">
        <v>129</v>
      </c>
      <c r="C36" s="107"/>
      <c r="D36" s="107"/>
      <c r="E36" s="107"/>
      <c r="F36" s="108"/>
      <c r="G36" s="55">
        <v>0</v>
      </c>
      <c r="H36" s="14" t="s">
        <v>3</v>
      </c>
      <c r="I36" s="1"/>
    </row>
    <row r="37" spans="1:9" x14ac:dyDescent="0.25">
      <c r="A37" s="1"/>
      <c r="B37" s="106" t="s">
        <v>125</v>
      </c>
      <c r="C37" s="107"/>
      <c r="D37" s="107"/>
      <c r="E37" s="107"/>
      <c r="F37" s="108"/>
      <c r="G37" s="22">
        <f>G35*'Fane 13. Nøgletal'!C25+G36*'Fane 13. Nøgletal'!C26</f>
        <v>150406.2146728661</v>
      </c>
      <c r="H37" s="14" t="s">
        <v>3</v>
      </c>
      <c r="I37" s="1"/>
    </row>
    <row r="38" spans="1:9" x14ac:dyDescent="0.25">
      <c r="A38" s="1"/>
      <c r="B38" s="51"/>
      <c r="C38" s="52"/>
      <c r="D38" s="52"/>
      <c r="E38" s="52"/>
      <c r="F38" s="52"/>
      <c r="G38" s="52"/>
      <c r="H38" s="19"/>
      <c r="I38" s="1"/>
    </row>
    <row r="39" spans="1:9" x14ac:dyDescent="0.25">
      <c r="A39" s="1"/>
      <c r="B39" s="1"/>
      <c r="C39" s="1"/>
      <c r="D39" s="1"/>
      <c r="E39" s="1"/>
      <c r="F39" s="1"/>
      <c r="G39" s="1"/>
      <c r="H39" s="1"/>
      <c r="I39" s="1"/>
    </row>
    <row r="40" spans="1:9" x14ac:dyDescent="0.25">
      <c r="A40" s="1"/>
      <c r="B40" s="103" t="s">
        <v>159</v>
      </c>
      <c r="C40" s="104"/>
      <c r="D40" s="104"/>
      <c r="E40" s="104"/>
      <c r="F40" s="104"/>
      <c r="G40" s="104"/>
      <c r="H40" s="105"/>
      <c r="I40" s="1"/>
    </row>
    <row r="41" spans="1:9" x14ac:dyDescent="0.25">
      <c r="A41" s="1"/>
      <c r="B41" s="106" t="s">
        <v>66</v>
      </c>
      <c r="C41" s="107"/>
      <c r="D41" s="107"/>
      <c r="E41" s="107"/>
      <c r="F41" s="108"/>
      <c r="G41" s="22">
        <f>(G35+G36-G37)*(1+'Fane 13. Nøgletal'!C15)</f>
        <v>5508263.9028200572</v>
      </c>
      <c r="H41" s="14" t="s">
        <v>3</v>
      </c>
      <c r="I41" s="1"/>
    </row>
    <row r="42" spans="1:9" x14ac:dyDescent="0.25">
      <c r="A42" s="1"/>
      <c r="B42" s="106" t="s">
        <v>169</v>
      </c>
      <c r="C42" s="107"/>
      <c r="D42" s="107"/>
      <c r="E42" s="107"/>
      <c r="F42" s="108"/>
      <c r="G42" s="59">
        <v>0</v>
      </c>
      <c r="H42" s="14" t="s">
        <v>3</v>
      </c>
      <c r="I42" s="1"/>
    </row>
    <row r="43" spans="1:9" x14ac:dyDescent="0.25">
      <c r="A43" s="1"/>
      <c r="B43" s="106" t="s">
        <v>65</v>
      </c>
      <c r="C43" s="107"/>
      <c r="D43" s="107"/>
      <c r="E43" s="107"/>
      <c r="F43" s="108"/>
      <c r="G43" s="58">
        <f>(G41+G42)*'Fane 13. Nøgletal'!C27</f>
        <v>0</v>
      </c>
      <c r="H43" s="14" t="s">
        <v>3</v>
      </c>
      <c r="I43" s="1"/>
    </row>
    <row r="44" spans="1:9" x14ac:dyDescent="0.25">
      <c r="A44" s="1"/>
      <c r="B44" s="51"/>
      <c r="C44" s="52"/>
      <c r="D44" s="52"/>
      <c r="E44" s="52"/>
      <c r="F44" s="52"/>
      <c r="G44" s="52"/>
      <c r="H44" s="19"/>
      <c r="I44" s="1"/>
    </row>
    <row r="45" spans="1:9" ht="12" customHeight="1" x14ac:dyDescent="0.25">
      <c r="A45" s="1"/>
      <c r="B45" s="1"/>
      <c r="C45" s="1"/>
      <c r="D45" s="1"/>
      <c r="E45" s="1"/>
      <c r="F45" s="1"/>
      <c r="G45" s="1"/>
      <c r="H45" s="1"/>
      <c r="I45" s="1"/>
    </row>
    <row r="46" spans="1:9" x14ac:dyDescent="0.25">
      <c r="A46" s="1"/>
      <c r="B46" s="103" t="s">
        <v>160</v>
      </c>
      <c r="C46" s="104"/>
      <c r="D46" s="104"/>
      <c r="E46" s="104"/>
      <c r="F46" s="104"/>
      <c r="G46" s="104"/>
      <c r="H46" s="105"/>
      <c r="I46" s="1"/>
    </row>
    <row r="47" spans="1:9" x14ac:dyDescent="0.25">
      <c r="A47" s="1"/>
      <c r="B47" s="106" t="s">
        <v>114</v>
      </c>
      <c r="C47" s="107"/>
      <c r="D47" s="107"/>
      <c r="E47" s="107"/>
      <c r="F47" s="108"/>
      <c r="G47" s="22">
        <f>(G41+G42-G43)*(1+'Fane 13. Nøgletal'!C15)</f>
        <v>5704358.097760452</v>
      </c>
      <c r="H47" s="14" t="s">
        <v>3</v>
      </c>
      <c r="I47" s="1"/>
    </row>
    <row r="48" spans="1:9" x14ac:dyDescent="0.25">
      <c r="A48" s="1"/>
      <c r="B48" s="106" t="s">
        <v>210</v>
      </c>
      <c r="C48" s="107"/>
      <c r="D48" s="107"/>
      <c r="E48" s="107"/>
      <c r="F48" s="108"/>
      <c r="G48" s="22">
        <f>('Fane 2.1. Økonomisk ramme 2024'!C10+'Fane 2.1. Økonomisk ramme 2024'!C12+'Fane 2.1. Økonomisk ramme 2024'!C14)*(1+'Fane 13. Nøgletal'!C16)</f>
        <v>920889.54082943988</v>
      </c>
      <c r="H48" s="14" t="s">
        <v>3</v>
      </c>
      <c r="I48" s="1"/>
    </row>
    <row r="49" spans="1:9" x14ac:dyDescent="0.25">
      <c r="A49" s="1"/>
      <c r="B49" s="106" t="s">
        <v>211</v>
      </c>
      <c r="C49" s="107"/>
      <c r="D49" s="107"/>
      <c r="E49" s="107"/>
      <c r="F49" s="108"/>
      <c r="G49" s="55">
        <f>(G47)*'Fane 13. Nøgletal'!C27+G48*'Fane 13. Nøgletal'!C28</f>
        <v>0</v>
      </c>
      <c r="H49" s="14" t="s">
        <v>3</v>
      </c>
      <c r="I49" s="1"/>
    </row>
    <row r="50" spans="1:9" x14ac:dyDescent="0.25">
      <c r="A50" s="1"/>
      <c r="B50" s="51"/>
      <c r="C50" s="52"/>
      <c r="D50" s="52"/>
      <c r="E50" s="52"/>
      <c r="F50" s="52"/>
      <c r="G50" s="52"/>
      <c r="H50" s="19"/>
      <c r="I50" s="1"/>
    </row>
    <row r="51" spans="1:9" x14ac:dyDescent="0.25">
      <c r="A51" s="1"/>
      <c r="B51" s="1"/>
      <c r="C51" s="1"/>
      <c r="D51" s="1"/>
      <c r="E51" s="1"/>
      <c r="F51" s="1"/>
      <c r="G51" s="1"/>
      <c r="H51" s="1"/>
      <c r="I51" s="1"/>
    </row>
    <row r="52" spans="1:9" x14ac:dyDescent="0.25">
      <c r="A52" s="1"/>
      <c r="B52" s="103" t="s">
        <v>130</v>
      </c>
      <c r="C52" s="104"/>
      <c r="D52" s="104"/>
      <c r="E52" s="104"/>
      <c r="F52" s="104"/>
      <c r="G52" s="104"/>
      <c r="H52" s="105"/>
      <c r="I52" s="1"/>
    </row>
    <row r="53" spans="1:9" x14ac:dyDescent="0.25">
      <c r="A53" s="1"/>
      <c r="B53" s="106" t="s">
        <v>131</v>
      </c>
      <c r="C53" s="107"/>
      <c r="D53" s="107"/>
      <c r="E53" s="107"/>
      <c r="F53" s="108"/>
      <c r="G53" s="22">
        <f>(G47+G48-G49)*(1+'Fane 13. Nøgletal'!C16)</f>
        <v>7160567.6477879547</v>
      </c>
      <c r="H53" s="14" t="s">
        <v>3</v>
      </c>
      <c r="I53" s="1"/>
    </row>
    <row r="54" spans="1:9" x14ac:dyDescent="0.25">
      <c r="A54" s="1"/>
      <c r="B54" s="106" t="s">
        <v>132</v>
      </c>
      <c r="C54" s="107"/>
      <c r="D54" s="107"/>
      <c r="E54" s="107"/>
      <c r="F54" s="108"/>
      <c r="G54" s="55">
        <f>(G53)*'Fane 13. Nøgletal'!C28</f>
        <v>0</v>
      </c>
      <c r="H54" s="14" t="s">
        <v>3</v>
      </c>
      <c r="I54" s="1"/>
    </row>
    <row r="55" spans="1:9" x14ac:dyDescent="0.25">
      <c r="A55" s="1"/>
      <c r="B55" s="51"/>
      <c r="C55" s="52"/>
      <c r="D55" s="52"/>
      <c r="E55" s="52"/>
      <c r="F55" s="52"/>
      <c r="G55" s="52"/>
      <c r="H55" s="19"/>
      <c r="I55" s="1"/>
    </row>
    <row r="56" spans="1:9" x14ac:dyDescent="0.25">
      <c r="A56" s="1"/>
      <c r="B56" s="1"/>
      <c r="C56" s="1"/>
      <c r="D56" s="1"/>
      <c r="E56" s="1"/>
      <c r="F56" s="1"/>
      <c r="G56" s="1"/>
      <c r="H56" s="1"/>
      <c r="I56" s="1"/>
    </row>
    <row r="57" spans="1:9" x14ac:dyDescent="0.25">
      <c r="A57" s="1"/>
      <c r="B57" s="103" t="s">
        <v>147</v>
      </c>
      <c r="C57" s="104"/>
      <c r="D57" s="104"/>
      <c r="E57" s="104"/>
      <c r="F57" s="104"/>
      <c r="G57" s="104"/>
      <c r="H57" s="105"/>
      <c r="I57" s="1"/>
    </row>
    <row r="58" spans="1:9" x14ac:dyDescent="0.25">
      <c r="A58" s="1"/>
      <c r="B58" s="106" t="s">
        <v>148</v>
      </c>
      <c r="C58" s="107"/>
      <c r="D58" s="107"/>
      <c r="E58" s="107"/>
      <c r="F58" s="108"/>
      <c r="G58" s="22">
        <f>(G53-G54)*(1+'Fane 13. Nøgletal'!C16)</f>
        <v>7739141.5137292212</v>
      </c>
      <c r="H58" s="14" t="s">
        <v>3</v>
      </c>
      <c r="I58" s="1"/>
    </row>
    <row r="59" spans="1:9" x14ac:dyDescent="0.25">
      <c r="A59" s="1"/>
      <c r="B59" s="106" t="s">
        <v>149</v>
      </c>
      <c r="C59" s="107"/>
      <c r="D59" s="107"/>
      <c r="E59" s="107"/>
      <c r="F59" s="108"/>
      <c r="G59" s="55">
        <f>(G58)*'Fane 13. Nøgletal'!C28</f>
        <v>0</v>
      </c>
      <c r="H59" s="14" t="s">
        <v>3</v>
      </c>
      <c r="I59" s="1"/>
    </row>
    <row r="60" spans="1:9" x14ac:dyDescent="0.25">
      <c r="A60" s="1"/>
      <c r="B60" s="51"/>
      <c r="C60" s="52"/>
      <c r="D60" s="52"/>
      <c r="E60" s="52"/>
      <c r="F60" s="52"/>
      <c r="G60" s="52"/>
      <c r="H60" s="19"/>
      <c r="I60" s="1"/>
    </row>
    <row r="61" spans="1:9" x14ac:dyDescent="0.25">
      <c r="A61" s="1"/>
      <c r="B61" s="1"/>
      <c r="C61" s="1"/>
      <c r="D61" s="1"/>
      <c r="E61" s="1"/>
      <c r="F61" s="1"/>
      <c r="G61" s="1"/>
      <c r="H61" s="1"/>
      <c r="I61" s="1"/>
    </row>
    <row r="62" spans="1:9" x14ac:dyDescent="0.25">
      <c r="A62" s="1"/>
      <c r="B62" s="103" t="s">
        <v>223</v>
      </c>
      <c r="C62" s="104"/>
      <c r="D62" s="104"/>
      <c r="E62" s="104"/>
      <c r="F62" s="104"/>
      <c r="G62" s="104"/>
      <c r="H62" s="105"/>
      <c r="I62" s="1"/>
    </row>
    <row r="63" spans="1:9" x14ac:dyDescent="0.25">
      <c r="A63" s="1"/>
      <c r="B63" s="106" t="s">
        <v>224</v>
      </c>
      <c r="C63" s="107"/>
      <c r="D63" s="107"/>
      <c r="E63" s="107"/>
      <c r="F63" s="108"/>
      <c r="G63" s="22">
        <f>(G58-G59)*(1+'Fane 13. Nøgletal'!C16)</f>
        <v>8364464.1480385419</v>
      </c>
      <c r="H63" s="14" t="s">
        <v>3</v>
      </c>
      <c r="I63" s="1"/>
    </row>
    <row r="64" spans="1:9" x14ac:dyDescent="0.25">
      <c r="A64" s="1"/>
      <c r="B64" s="106" t="s">
        <v>225</v>
      </c>
      <c r="C64" s="107"/>
      <c r="D64" s="107"/>
      <c r="E64" s="107"/>
      <c r="F64" s="108"/>
      <c r="G64" s="55">
        <f>(G63)*'Fane 13. Nøgletal'!C28</f>
        <v>0</v>
      </c>
      <c r="H64" s="14" t="s">
        <v>3</v>
      </c>
      <c r="I64" s="1"/>
    </row>
    <row r="65" spans="1:9" x14ac:dyDescent="0.25">
      <c r="A65" s="1"/>
      <c r="B65" s="51"/>
      <c r="C65" s="52"/>
      <c r="D65" s="52"/>
      <c r="E65" s="52"/>
      <c r="F65" s="52"/>
      <c r="G65" s="52"/>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LOzxLnSEIoUwMiHZGxXTlYz61MR/g/mA4ROLtoL/zISqAotuHA2Bvz4F3LZagG3zyiggUVyRg8Om7aDn9zA5/g==" saltValue="PtbW/JzB+0/WrvyZ4yuxng==" spinCount="100000" sheet="1" objects="1" scenarios="1"/>
  <mergeCells count="42">
    <mergeCell ref="B47:F47"/>
    <mergeCell ref="B49:F49"/>
    <mergeCell ref="B36:F36"/>
    <mergeCell ref="B42:F42"/>
    <mergeCell ref="B41:F41"/>
    <mergeCell ref="B40:H40"/>
    <mergeCell ref="B37:F37"/>
    <mergeCell ref="B46:H46"/>
    <mergeCell ref="B48:F48"/>
    <mergeCell ref="B34:H34"/>
    <mergeCell ref="B12:F12"/>
    <mergeCell ref="B15:H15"/>
    <mergeCell ref="B16:F16"/>
    <mergeCell ref="B18:F18"/>
    <mergeCell ref="B30:F30"/>
    <mergeCell ref="B17:F17"/>
    <mergeCell ref="B22:H22"/>
    <mergeCell ref="B23:F23"/>
    <mergeCell ref="B24:F24"/>
    <mergeCell ref="B25:F25"/>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62:H62"/>
    <mergeCell ref="B63:F63"/>
    <mergeCell ref="B64:F64"/>
    <mergeCell ref="B57:H57"/>
    <mergeCell ref="B58:F58"/>
    <mergeCell ref="B59:F59"/>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9" t="s">
        <v>77</v>
      </c>
      <c r="C3" s="99"/>
      <c r="D3" s="99"/>
      <c r="E3" s="99"/>
      <c r="F3" s="99"/>
      <c r="G3" s="99"/>
      <c r="H3" s="1"/>
    </row>
    <row r="4" spans="1:8" ht="15" customHeight="1" x14ac:dyDescent="0.25">
      <c r="A4" s="1"/>
      <c r="B4" s="99"/>
      <c r="C4" s="99"/>
      <c r="D4" s="99"/>
      <c r="E4" s="99"/>
      <c r="F4" s="99"/>
      <c r="G4" s="9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3" t="s">
        <v>9</v>
      </c>
      <c r="C8" s="104"/>
      <c r="D8" s="104"/>
      <c r="E8" s="104"/>
      <c r="F8" s="104"/>
      <c r="G8" s="105"/>
      <c r="H8" s="1"/>
    </row>
    <row r="9" spans="1:8" x14ac:dyDescent="0.25">
      <c r="A9" s="1"/>
      <c r="B9" s="67" t="s">
        <v>150</v>
      </c>
      <c r="C9" s="68"/>
      <c r="D9" s="68"/>
      <c r="E9" s="68"/>
      <c r="F9" s="69"/>
      <c r="G9" s="65">
        <v>2.8664103648208023E-3</v>
      </c>
      <c r="H9" s="1"/>
    </row>
    <row r="10" spans="1:8" x14ac:dyDescent="0.25">
      <c r="A10" s="1"/>
      <c r="B10" s="51"/>
      <c r="C10" s="52"/>
      <c r="D10" s="52"/>
      <c r="E10" s="52"/>
      <c r="F10" s="52"/>
      <c r="G10" s="19"/>
      <c r="H10" s="1"/>
    </row>
    <row r="11" spans="1:8" ht="15" customHeight="1" x14ac:dyDescent="0.25">
      <c r="A11" s="1"/>
      <c r="B11" s="115" t="s">
        <v>236</v>
      </c>
      <c r="C11" s="116"/>
      <c r="D11" s="116"/>
      <c r="E11" s="116"/>
      <c r="F11" s="116"/>
      <c r="G11" s="117"/>
      <c r="H11" s="1"/>
    </row>
    <row r="12" spans="1:8" ht="13.5" customHeight="1" x14ac:dyDescent="0.25">
      <c r="A12" s="1"/>
      <c r="B12" s="118"/>
      <c r="C12" s="119"/>
      <c r="D12" s="119"/>
      <c r="E12" s="119"/>
      <c r="F12" s="119"/>
      <c r="G12" s="120"/>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IomynKCY9FQKV5vORhOdguq0WPbw6VlfC8IVIYI4HwKVwen+l99N/MPA+mn59RiDelpb0//WEd2iizYG/iOrRg==" saltValue="E6v4vel1KsoGwl0GWhR+4Q=="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2023-11-20T12:10:57Z</dcterms:modified>
</cp:coreProperties>
</file>