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Hillerød Spildevand AS (S039)\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E24" i="32" l="1"/>
  <c r="E32" i="32" s="1"/>
  <c r="E34" i="32" s="1"/>
  <c r="C20" i="23" l="1"/>
  <c r="C20" i="22"/>
  <c r="C20" i="15"/>
  <c r="E28" i="32"/>
  <c r="C32" i="2" s="1"/>
  <c r="C16" i="19"/>
  <c r="J18" i="11" l="1"/>
  <c r="H18" i="11"/>
  <c r="F15" i="11"/>
  <c r="F16" i="11"/>
  <c r="F17" i="11"/>
  <c r="E34" i="27" l="1"/>
  <c r="C22" i="23"/>
  <c r="C22" i="22"/>
  <c r="C22" i="15"/>
  <c r="C36" i="2"/>
  <c r="G18" i="41" l="1"/>
  <c r="F11" i="11" l="1"/>
  <c r="F12" i="11"/>
  <c r="F13" i="11"/>
  <c r="F14" i="11"/>
  <c r="C11" i="29" l="1"/>
  <c r="E11" i="29"/>
  <c r="E11" i="39"/>
  <c r="C11" i="39"/>
  <c r="E16" i="27" l="1"/>
  <c r="E29" i="20" l="1"/>
  <c r="E23" i="20"/>
  <c r="E17" i="20"/>
  <c r="E11" i="20"/>
  <c r="F10" i="11" l="1"/>
  <c r="F18" i="11" s="1"/>
  <c r="E12" i="29" l="1"/>
  <c r="C12" i="29"/>
  <c r="C12" i="21" l="1"/>
  <c r="C13" i="21" s="1"/>
  <c r="C12" i="2" l="1"/>
  <c r="C15" i="2" l="1"/>
  <c r="C14" i="2"/>
  <c r="G6" i="36" l="1"/>
  <c r="C12" i="39" l="1"/>
  <c r="E12" i="39" l="1"/>
  <c r="C26" i="2" l="1"/>
  <c r="C28" i="2" s="1"/>
  <c r="C27" i="2" l="1"/>
  <c r="C29" i="2" s="1"/>
  <c r="C30" i="2" l="1"/>
  <c r="C17"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3" i="37" s="1"/>
  <c r="C14" i="37" l="1"/>
  <c r="C10" i="2" s="1"/>
  <c r="G44" i="30" s="1"/>
  <c r="G35" i="36"/>
  <c r="G37" i="36" l="1"/>
  <c r="E19" i="27" s="1"/>
  <c r="G41" i="36" l="1"/>
  <c r="G27" i="30"/>
  <c r="G31" i="30" l="1"/>
  <c r="E10" i="37"/>
  <c r="E13" i="37" s="1"/>
  <c r="G33" i="30" l="1"/>
  <c r="G37" i="30" s="1"/>
  <c r="G39" i="30" s="1"/>
  <c r="E14"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<sst xmlns="http://schemas.openxmlformats.org/spreadsheetml/2006/main" count="649" uniqueCount="298">
  <si>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</si>
  <si>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</si>
  <si>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</si>
  <si>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</si>
  <si>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</si>
  <si>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</si>
  <si>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</si>
  <si>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</si>
  <si>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</si>
  <si>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</si>
  <si>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</si>
  <si>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</si>
  <si>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</si>
  <si>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</si>
  <si>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</si>
  <si>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</si>
  <si>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</si>
  <si>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</si>
  <si>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</si>
  <si>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</si>
  <si>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</si>
  <si>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</si>
  <si>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</si>
  <si>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</si>
  <si>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</si>
  <si>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</si>
  <si>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</si>
  <si>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</si>
  <si>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</si>
  <si>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</si>
  <si>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</si>
  <si>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</si>
  <si>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</si>
  <si>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</si>
  <si>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</si>
  <si>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</si>
  <si>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</si>
  <si>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</si>
  <si>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</si>
  <si>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</si>
  <si>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</si>
  <si>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</si>
  <si>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</si>
  <si>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</si>
  <si>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</si>
  <si>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</si>
  <si>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</si>
  <si>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</si>
  <si>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</si>
  <si>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</si>
  <si>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</si>
  <si>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</si>
  <si>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</si>
  <si>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</si>
  <si>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</si>
  <si>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</si>
  <si>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</si>
  <si>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</si>
  <si>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</si>
  <si>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</si>
  <si>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</si>
  <si>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</si>
  <si>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</si>
  <si>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</si>
  <si>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</si>
  <si>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</si>
  <si>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</si>
  <si>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</si>
  <si>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</si>
  <si>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</si>
  <si>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</si>
  <si>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</si>
  <si>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</si>
  <si>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</si>
  <si>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</si>
  <si>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</si>
  <si>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</si>
  <si>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</si>
  <si>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</si>
  <si>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</si>
  <si>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</si>
  <si>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</si>
  <si>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</si>
  <si>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</si>
  <si>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</si>
  <si>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</si>
  <si>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</si>
  <si>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</si>
  <si>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</si>
  <si>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</si>
  <si>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</si>
  <si>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</si>
  <si>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</si>
  <si>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</si>
  <si>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</si>
  <si>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</si>
  <si>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</si>
  <si>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</si>
  <si>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</si>
  <si>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</si>
  <si>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</si>
  <si>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</si>
  <si>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</si>
  <si>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</si>
  <si>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</si>
  <si>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</si>
  <si>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</si>
  <si>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</si>
  <si>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</si>
  <si>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</si>
  <si>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</si>
  <si>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</si>
  <si>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</si>
  <si>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</si>
  <si>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</si>
  <si>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</si>
  <si>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</si>
  <si>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</si>
  <si>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</si>
  <si>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</si>
  <si>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</si>
  <si>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</si>
  <si>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</si>
  <si>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</si>
  <si>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</si>
  <si>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</si>
  <si>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</si>
  <si>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</si>
  <si>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</si>
  <si>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</si>
  <si>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</si>
  <si>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</si>
  <si>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</si>
  <si>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</si>
  <si>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</si>
  <si>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</si>
  <si>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</si>
  <si>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</si>
  <si>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</si>
  <si>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</si>
  <si>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</si>
  <si>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</si>
  <si>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</si>
  <si>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</si>
  <si>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</si>
  <si>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</si>
  <si>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</si>
  <si>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</si>
  <si>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</si>
  <si>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</si>
  <si>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</si>
  <si>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</si>
  <si>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</si>
  <si>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</si>
  <si>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</si>
  <si>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</si>
  <si>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</si>
  <si>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</si>
  <si>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</si>
  <si>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</si>
  <si>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</si>
  <si>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</si>
  <si>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</si>
  <si>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</si>
  <si>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</si>
  <si>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</si>
  <si>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</si>
  <si>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</si>
  <si>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</si>
  <si>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</si>
  <si>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</si>
  <si>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</si>
  <si>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</si>
  <si>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</si>
  <si>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</si>
  <si>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</si>
  <si>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</si>
  <si>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</si>
  <si>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</si>
  <si>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</si>
  <si>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</si>
  <si>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</si>
  <si>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</si>
  <si>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</si>
  <si>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</si>
  <si>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</si>
  <si>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</si>
  <si>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</si>
  <si>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</si>
  <si>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</si>
  <si>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</si>
  <si>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</si>
  <si>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</si>
  <si>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</si>
  <si>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</si>
  <si>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</si>
  <si>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</si>
  <si>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</si>
  <si>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</si>
  <si>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</si>
  <si>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</si>
  <si>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</si>
  <si>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</si>
  <si>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</si>
  <si>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</si>
  <si>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</si>
  <si>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</si>
  <si>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</si>
  <si>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</si>
  <si>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</si>
  <si>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</si>
  <si>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</si>
  <si>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</si>
  <si>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</si>
  <si>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</si>
  <si>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</si>
  <si>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</si>
  <si>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</si>
  <si>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</si>
  <si>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</si>
  <si>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</si>
  <si>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</si>
  <si>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</si>
  <si>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</si>
  <si>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</si>
  <si>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</si>
  <si>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</si>
  <si>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</si>
  <si>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</si>
  <si>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</si>
  <si>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</si>
  <si>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</si>
  <si>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</si>
  <si>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</si>
  <si>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</si>
  <si>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</si>
  <si>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</si>
  <si>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</si>
  <si>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</si>
  <si>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</si>
  <si>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</si>
  <si>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</si>
  <si>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</si>
  <si>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</si>
  <si>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</si>
  <si>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</si>
  <si>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</si>
  <si>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</si>
  <si>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</si>
  <si>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</si>
  <si>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</si>
  <si>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</si>
  <si>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</si>
  <si>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</si>
  <si>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</si>
  <si>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</si>
  <si>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</si>
  <si>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</si>
  <si>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</si>
  <si>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</si>
  <si>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</si>
  <si>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</si>
  <si>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</si>
  <si>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</si>
  <si>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</si>
  <si>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</si>
  <si>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</si>
  <si>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</si>
  <si>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</si>
  <si>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Erstatninger</t>
  </si>
  <si>
    <t>Øvrige IPO</t>
  </si>
  <si>
    <t>Resultat af kontrol med overholdelse af den økonomiske ramme for 2021</t>
  </si>
  <si>
    <t>Ingen tilknyttet virksomhed under hovedvirksomheden</t>
  </si>
  <si>
    <t>Nye tilslutninger</t>
  </si>
  <si>
    <t>Separatkloakering mm.</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</si>
  <si>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</si>
  <si>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</si>
  <si>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</si>
  <si>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</si>
  <si>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</si>
  <si>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</si>
  <si>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</si>
  <si>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</si>
  <si>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Brønde</t>
  </si>
  <si>
    <t>Pumpeinstallation Miljøklasse A (300-600 l/s) - Mek/EL</t>
  </si>
  <si>
    <t>Pumpestationer i underjordiske bygværker (&lt;50 m2), Mek/El</t>
  </si>
  <si>
    <t>Pumpestationer i underjordiske bygværker (&lt;50 m2), SRO</t>
  </si>
  <si>
    <t>Ø 200 mm &lt; Ledningsnet ≤ Ø 500 mm</t>
  </si>
  <si>
    <t>Ø 500 mm &lt; Ledningsnet ≤ Ø 800 mm</t>
  </si>
  <si>
    <t>Ø 800 mm &lt; Ledningsnet ≤ Ø 1000 mm</t>
  </si>
  <si>
    <t>Indregnet fradrag i økonomisk ramme for 2022</t>
  </si>
  <si>
    <t>Indregnet fradrag i økonomisk ramme for 2023</t>
  </si>
  <si>
    <t>Korrektion af fradrag i den økonomiske ramme for 2023</t>
  </si>
  <si>
    <t>Tillæg/fradrag i den økonnomiske ramme for 2023</t>
  </si>
  <si>
    <t xml:space="preserve">Ingen engangstillæg </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</si>
  <si>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</si>
  <si>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</si>
  <si>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 xml:space="preserve">Note: Opgørelsen af over/underdækningen er taget fra jeres tidligere fremsendte økonomiske rammer og statusmeddelelser. I kan derfor ikke komme med høringssvar til denne opgørelse.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</si>
</sst>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5" t="s">
        <v>4</v>
      </c>
      <c r="E6" s="105"/>
      <c r="F6" s="105"/>
      <c r="G6" s="105"/>
      <c r="H6" s="3"/>
      <c r="I6" s="1"/>
    </row>
    <row r="7" spans="1:9" ht="15" customHeight="1" x14ac:dyDescent="0.25">
      <c r="A7" s="1"/>
      <c r="B7" s="1"/>
      <c r="C7" s="3"/>
      <c r="D7" s="105"/>
      <c r="E7" s="105"/>
      <c r="F7" s="105"/>
      <c r="G7" s="105"/>
      <c r="H7" s="3"/>
      <c r="I7" s="1"/>
    </row>
    <row r="8" spans="1:9" ht="15.75" x14ac:dyDescent="0.25">
      <c r="A8" s="1"/>
      <c r="B8" s="1"/>
      <c r="C8" s="4"/>
      <c r="D8" s="113" t="s">
        <v>225</v>
      </c>
      <c r="E8" s="113"/>
      <c r="F8" s="113"/>
      <c r="G8" s="113"/>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2" t="s">
        <v>5</v>
      </c>
      <c r="E11" s="112"/>
      <c r="F11" s="112"/>
      <c r="G11" s="112"/>
      <c r="H11" s="5"/>
      <c r="I11" s="1"/>
    </row>
    <row r="12" spans="1:9" x14ac:dyDescent="0.25">
      <c r="A12" s="1"/>
      <c r="B12" s="1"/>
      <c r="C12" s="1"/>
      <c r="D12" s="1"/>
      <c r="E12" s="1"/>
      <c r="F12" s="1"/>
      <c r="G12" s="1"/>
      <c r="H12" s="5"/>
      <c r="I12" s="1"/>
    </row>
    <row r="13" spans="1:9" x14ac:dyDescent="0.25">
      <c r="A13" s="1"/>
      <c r="B13" s="1"/>
      <c r="C13" s="6" t="s">
        <v>6</v>
      </c>
      <c r="D13" s="117" t="s">
        <v>169</v>
      </c>
      <c r="E13" s="118"/>
      <c r="F13" s="118"/>
      <c r="G13" s="119"/>
      <c r="H13" s="5"/>
      <c r="I13" s="1"/>
    </row>
    <row r="14" spans="1:9" x14ac:dyDescent="0.25">
      <c r="A14" s="1"/>
      <c r="B14" s="1"/>
      <c r="C14" s="6" t="s">
        <v>16</v>
      </c>
      <c r="D14" s="102" t="s">
        <v>235</v>
      </c>
      <c r="E14" s="103"/>
      <c r="F14" s="103"/>
      <c r="G14" s="104"/>
      <c r="H14" s="5"/>
      <c r="I14" s="1"/>
    </row>
    <row r="15" spans="1:9" x14ac:dyDescent="0.25">
      <c r="A15" s="1"/>
      <c r="B15" s="1"/>
      <c r="C15" s="6" t="s">
        <v>34</v>
      </c>
      <c r="D15" s="102" t="s">
        <v>170</v>
      </c>
      <c r="E15" s="103"/>
      <c r="F15" s="103"/>
      <c r="G15" s="104"/>
      <c r="H15" s="5"/>
      <c r="I15" s="1"/>
    </row>
    <row r="16" spans="1:9" x14ac:dyDescent="0.25">
      <c r="A16" s="1"/>
      <c r="B16" s="1"/>
      <c r="C16" s="6" t="s">
        <v>35</v>
      </c>
      <c r="D16" s="102" t="s">
        <v>182</v>
      </c>
      <c r="E16" s="103"/>
      <c r="F16" s="103"/>
      <c r="G16" s="104"/>
      <c r="H16" s="5"/>
      <c r="I16" s="1"/>
    </row>
    <row r="17" spans="1:9" x14ac:dyDescent="0.25">
      <c r="A17" s="1"/>
      <c r="B17" s="1"/>
      <c r="C17" s="6" t="s">
        <v>119</v>
      </c>
      <c r="D17" s="102" t="s">
        <v>183</v>
      </c>
      <c r="E17" s="103"/>
      <c r="F17" s="103"/>
      <c r="G17" s="104"/>
      <c r="H17" s="5"/>
      <c r="I17" s="1"/>
    </row>
    <row r="18" spans="1:9" x14ac:dyDescent="0.25">
      <c r="A18" s="1"/>
      <c r="B18" s="1"/>
      <c r="C18" s="6" t="s">
        <v>106</v>
      </c>
      <c r="D18" s="114" t="s">
        <v>95</v>
      </c>
      <c r="E18" s="115"/>
      <c r="F18" s="115"/>
      <c r="G18" s="116"/>
      <c r="H18" s="5"/>
      <c r="I18" s="1"/>
    </row>
    <row r="19" spans="1:9" x14ac:dyDescent="0.25">
      <c r="A19" s="1"/>
      <c r="B19" s="1"/>
      <c r="C19" s="6" t="s">
        <v>107</v>
      </c>
      <c r="D19" s="114" t="s">
        <v>96</v>
      </c>
      <c r="E19" s="115"/>
      <c r="F19" s="115"/>
      <c r="G19" s="116"/>
      <c r="H19" s="5"/>
      <c r="I19" s="1"/>
    </row>
    <row r="20" spans="1:9" x14ac:dyDescent="0.25">
      <c r="A20" s="1"/>
      <c r="B20" s="1"/>
      <c r="C20" s="6" t="s">
        <v>7</v>
      </c>
      <c r="D20" s="114" t="s">
        <v>10</v>
      </c>
      <c r="E20" s="115"/>
      <c r="F20" s="115"/>
      <c r="G20" s="116"/>
      <c r="H20" s="5"/>
      <c r="I20" s="1"/>
    </row>
    <row r="21" spans="1:9" x14ac:dyDescent="0.25">
      <c r="A21" s="1"/>
      <c r="B21" s="1"/>
      <c r="C21" s="6" t="s">
        <v>108</v>
      </c>
      <c r="D21" s="106" t="s">
        <v>12</v>
      </c>
      <c r="E21" s="107"/>
      <c r="F21" s="107"/>
      <c r="G21" s="108"/>
      <c r="H21" s="5"/>
      <c r="I21" s="1"/>
    </row>
    <row r="22" spans="1:9" x14ac:dyDescent="0.25">
      <c r="A22" s="1"/>
      <c r="B22" s="1"/>
      <c r="C22" s="6" t="s">
        <v>83</v>
      </c>
      <c r="D22" s="109" t="s">
        <v>184</v>
      </c>
      <c r="E22" s="110"/>
      <c r="F22" s="110"/>
      <c r="G22" s="111"/>
      <c r="H22" s="5"/>
      <c r="I22" s="1"/>
    </row>
    <row r="23" spans="1:9" x14ac:dyDescent="0.25">
      <c r="A23" s="1"/>
      <c r="B23" s="1"/>
      <c r="C23" s="6" t="s">
        <v>8</v>
      </c>
      <c r="D23" s="109" t="s">
        <v>253</v>
      </c>
      <c r="E23" s="110"/>
      <c r="F23" s="110"/>
      <c r="G23" s="111"/>
      <c r="H23" s="5"/>
      <c r="I23" s="1"/>
    </row>
    <row r="24" spans="1:9" x14ac:dyDescent="0.25">
      <c r="A24" s="1"/>
      <c r="B24" s="1"/>
      <c r="C24" s="6" t="s">
        <v>9</v>
      </c>
      <c r="D24" s="109" t="s">
        <v>185</v>
      </c>
      <c r="E24" s="110"/>
      <c r="F24" s="110"/>
      <c r="G24" s="111"/>
      <c r="H24" s="5"/>
      <c r="I24" s="1"/>
    </row>
    <row r="25" spans="1:9" x14ac:dyDescent="0.25">
      <c r="A25" s="1"/>
      <c r="B25" s="1"/>
      <c r="C25" s="6" t="s">
        <v>246</v>
      </c>
      <c r="D25" s="109" t="s">
        <v>237</v>
      </c>
      <c r="E25" s="110"/>
      <c r="F25" s="110"/>
      <c r="G25" s="111"/>
      <c r="H25" s="1"/>
      <c r="I25" s="1"/>
    </row>
    <row r="26" spans="1:9" x14ac:dyDescent="0.25">
      <c r="A26" s="1"/>
      <c r="B26" s="1"/>
      <c r="C26" s="6" t="s">
        <v>247</v>
      </c>
      <c r="D26" s="109" t="s">
        <v>84</v>
      </c>
      <c r="E26" s="110"/>
      <c r="F26" s="110"/>
      <c r="G26" s="111"/>
      <c r="H26" s="1"/>
      <c r="I26" s="1"/>
    </row>
    <row r="27" spans="1:9" x14ac:dyDescent="0.25">
      <c r="A27" s="1"/>
      <c r="B27" s="1"/>
      <c r="C27" s="6" t="s">
        <v>248</v>
      </c>
      <c r="D27" s="109" t="s">
        <v>85</v>
      </c>
      <c r="E27" s="110"/>
      <c r="F27" s="110"/>
      <c r="G27" s="111"/>
      <c r="H27" s="1"/>
      <c r="I27" s="1"/>
    </row>
    <row r="28" spans="1:9" x14ac:dyDescent="0.25">
      <c r="A28" s="1"/>
      <c r="B28" s="1"/>
      <c r="C28" s="6" t="s">
        <v>15</v>
      </c>
      <c r="D28" s="109" t="s">
        <v>86</v>
      </c>
      <c r="E28" s="110"/>
      <c r="F28" s="110"/>
      <c r="G28" s="111"/>
      <c r="H28" s="1"/>
      <c r="I28" s="1"/>
    </row>
    <row r="29" spans="1:9" x14ac:dyDescent="0.25">
      <c r="A29" s="1"/>
      <c r="B29" s="1"/>
      <c r="C29" s="6" t="s">
        <v>37</v>
      </c>
      <c r="D29" s="109" t="s">
        <v>134</v>
      </c>
      <c r="E29" s="110"/>
      <c r="F29" s="110"/>
      <c r="G29" s="111"/>
      <c r="H29" s="1"/>
      <c r="I29" s="1"/>
    </row>
    <row r="30" spans="1:9" x14ac:dyDescent="0.25">
      <c r="A30" s="1"/>
      <c r="B30" s="1"/>
      <c r="C30" s="6" t="s">
        <v>38</v>
      </c>
      <c r="D30" s="109" t="s">
        <v>36</v>
      </c>
      <c r="E30" s="110"/>
      <c r="F30" s="110"/>
      <c r="G30" s="111"/>
      <c r="H30" s="1"/>
      <c r="I30" s="1"/>
    </row>
    <row r="31" spans="1:9" x14ac:dyDescent="0.25">
      <c r="A31" s="1"/>
      <c r="B31" s="1"/>
      <c r="C31" s="6" t="s">
        <v>249</v>
      </c>
      <c r="D31" s="120" t="s">
        <v>105</v>
      </c>
      <c r="E31" s="121"/>
      <c r="F31" s="121"/>
      <c r="G31" s="122"/>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obEVfnAWUHBajdg4KNQDsNlrHNwtgjqe95kd0Yq1H9YAXHYdtNKnsjGaMRrNdasAAHX3AlaVfNVWkmxW3kFg0g==" saltValue="opIDUIFbDr63pxR//LNli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3"/>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3" t="s">
        <v>111</v>
      </c>
      <c r="C3" s="123"/>
      <c r="D3" s="123"/>
      <c r="E3" s="1"/>
      <c r="F3" s="1"/>
    </row>
    <row r="4" spans="1:6" ht="15" customHeight="1" x14ac:dyDescent="0.25">
      <c r="A4" s="1"/>
      <c r="B4" s="123"/>
      <c r="C4" s="123"/>
      <c r="D4" s="12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1009671</v>
      </c>
      <c r="D10" s="14" t="s">
        <v>3</v>
      </c>
      <c r="E10" s="1"/>
      <c r="F10" s="1"/>
    </row>
    <row r="11" spans="1:6" x14ac:dyDescent="0.25">
      <c r="A11" s="1"/>
      <c r="B11" s="94" t="s">
        <v>266</v>
      </c>
      <c r="C11" s="9">
        <v>125670</v>
      </c>
      <c r="D11" s="14" t="s">
        <v>3</v>
      </c>
      <c r="E11" s="1"/>
      <c r="F11" s="1"/>
    </row>
    <row r="12" spans="1:6" x14ac:dyDescent="0.25">
      <c r="A12" s="1"/>
      <c r="B12" s="94" t="s">
        <v>267</v>
      </c>
      <c r="C12" s="9">
        <v>2201012</v>
      </c>
      <c r="D12" s="14" t="s">
        <v>3</v>
      </c>
      <c r="E12" s="1"/>
      <c r="F12" s="1"/>
    </row>
    <row r="13" spans="1:6" x14ac:dyDescent="0.25">
      <c r="A13" s="1"/>
      <c r="B13" s="94" t="s">
        <v>268</v>
      </c>
      <c r="C13" s="9">
        <v>623071</v>
      </c>
      <c r="D13" s="14" t="s">
        <v>3</v>
      </c>
      <c r="E13" s="1"/>
      <c r="F13" s="1"/>
    </row>
    <row r="14" spans="1:6" x14ac:dyDescent="0.25">
      <c r="A14" s="1"/>
      <c r="B14" s="94" t="s">
        <v>269</v>
      </c>
      <c r="C14" s="9">
        <v>13650</v>
      </c>
      <c r="D14" s="14" t="s">
        <v>3</v>
      </c>
      <c r="E14" s="1"/>
      <c r="F14" s="1"/>
    </row>
    <row r="15" spans="1:6" x14ac:dyDescent="0.25">
      <c r="A15" s="1"/>
      <c r="B15" s="94" t="s">
        <v>270</v>
      </c>
      <c r="C15" s="9">
        <v>39495</v>
      </c>
      <c r="D15" s="14" t="s">
        <v>3</v>
      </c>
      <c r="E15" s="1"/>
      <c r="F15" s="1"/>
    </row>
    <row r="16" spans="1:6" x14ac:dyDescent="0.25">
      <c r="A16" s="1"/>
      <c r="B16" s="32" t="s">
        <v>200</v>
      </c>
      <c r="C16" s="12">
        <f>SUM(C10:C15)</f>
        <v>4012569</v>
      </c>
      <c r="D16" s="13" t="s">
        <v>3</v>
      </c>
      <c r="E16" s="1"/>
      <c r="F16" s="1"/>
    </row>
    <row r="17" spans="1:6" x14ac:dyDescent="0.25">
      <c r="A17" s="1"/>
      <c r="B17" s="32" t="s">
        <v>201</v>
      </c>
      <c r="C17" s="12">
        <f>C16*(1+'Fane 15. Nøgletal'!C15)^2</f>
        <v>4303349.2822478404</v>
      </c>
      <c r="D17" s="13" t="s">
        <v>3</v>
      </c>
      <c r="E17" s="1"/>
      <c r="F17" s="1"/>
    </row>
    <row r="18" spans="1:6" x14ac:dyDescent="0.25">
      <c r="A18" s="1"/>
      <c r="B18" s="16"/>
      <c r="C18" s="15"/>
      <c r="D18" s="15"/>
      <c r="E18" s="1"/>
      <c r="F18" s="1"/>
    </row>
    <row r="19" spans="1:6" x14ac:dyDescent="0.25">
      <c r="A19" s="1"/>
      <c r="B19" s="16"/>
      <c r="C19" s="15"/>
      <c r="D19" s="15"/>
      <c r="E19" s="1"/>
      <c r="F19" s="1"/>
    </row>
    <row r="20" spans="1:6" x14ac:dyDescent="0.25">
      <c r="A20" s="1"/>
      <c r="B20" s="131" t="s">
        <v>117</v>
      </c>
      <c r="C20" s="132"/>
      <c r="D20" s="133"/>
      <c r="E20" s="1"/>
      <c r="F20" s="1"/>
    </row>
    <row r="21" spans="1:6" x14ac:dyDescent="0.25">
      <c r="A21" s="1"/>
      <c r="B21" s="94" t="s">
        <v>99</v>
      </c>
      <c r="C21" s="9">
        <v>1678803</v>
      </c>
      <c r="D21" s="14" t="s">
        <v>3</v>
      </c>
      <c r="E21" s="1"/>
      <c r="F21" s="1"/>
    </row>
    <row r="22" spans="1:6" x14ac:dyDescent="0.25">
      <c r="A22" s="1"/>
      <c r="B22" s="94" t="s">
        <v>129</v>
      </c>
      <c r="C22" s="9">
        <v>1678803</v>
      </c>
      <c r="D22" s="14" t="s">
        <v>3</v>
      </c>
      <c r="E22" s="1"/>
      <c r="F22" s="1"/>
    </row>
    <row r="23" spans="1:6" x14ac:dyDescent="0.25">
      <c r="A23" s="1"/>
      <c r="B23" s="94" t="s">
        <v>155</v>
      </c>
      <c r="C23" s="9">
        <v>1678803</v>
      </c>
      <c r="D23" s="14" t="s">
        <v>3</v>
      </c>
      <c r="E23" s="1"/>
      <c r="F23" s="1"/>
    </row>
    <row r="24" spans="1:6" x14ac:dyDescent="0.25">
      <c r="A24" s="1"/>
      <c r="B24" s="33" t="s">
        <v>202</v>
      </c>
      <c r="C24" s="9">
        <v>1678803</v>
      </c>
      <c r="D24" s="40" t="s">
        <v>3</v>
      </c>
      <c r="E24" s="1"/>
      <c r="F24" s="1"/>
    </row>
    <row r="25" spans="1:6" x14ac:dyDescent="0.25">
      <c r="A25" s="1"/>
      <c r="B25" s="131"/>
      <c r="C25" s="132"/>
      <c r="D25" s="133"/>
      <c r="E25" s="1"/>
      <c r="F25" s="1"/>
    </row>
    <row r="26" spans="1:6" x14ac:dyDescent="0.25">
      <c r="A26" s="1"/>
      <c r="B26" s="1"/>
      <c r="C26" s="1"/>
      <c r="D26" s="1"/>
      <c r="E26" s="1"/>
      <c r="F26" s="1"/>
    </row>
    <row r="27" spans="1:6" x14ac:dyDescent="0.25">
      <c r="A27" s="1"/>
      <c r="B27" s="1"/>
      <c r="C27" s="1"/>
      <c r="D27" s="1"/>
      <c r="E27" s="1"/>
      <c r="F27" s="1"/>
    </row>
    <row r="28" spans="1:6" x14ac:dyDescent="0.25">
      <c r="A28" s="1"/>
      <c r="B28" s="131" t="s">
        <v>98</v>
      </c>
      <c r="C28" s="132"/>
      <c r="D28" s="133"/>
      <c r="E28" s="1"/>
      <c r="F28" s="1"/>
    </row>
    <row r="29" spans="1:6" x14ac:dyDescent="0.25">
      <c r="A29" s="1"/>
      <c r="B29" s="94" t="s">
        <v>99</v>
      </c>
      <c r="C29" s="9">
        <v>0</v>
      </c>
      <c r="D29" s="14" t="s">
        <v>3</v>
      </c>
      <c r="E29" s="1"/>
      <c r="F29" s="1"/>
    </row>
    <row r="30" spans="1:6" x14ac:dyDescent="0.25">
      <c r="A30" s="1"/>
      <c r="B30" s="94" t="s">
        <v>129</v>
      </c>
      <c r="C30" s="9">
        <v>0</v>
      </c>
      <c r="D30" s="14" t="s">
        <v>3</v>
      </c>
      <c r="E30" s="1"/>
      <c r="F30" s="1"/>
    </row>
    <row r="31" spans="1:6" x14ac:dyDescent="0.25">
      <c r="A31" s="1"/>
      <c r="B31" s="94" t="s">
        <v>155</v>
      </c>
      <c r="C31" s="9">
        <v>0</v>
      </c>
      <c r="D31" s="14" t="s">
        <v>3</v>
      </c>
      <c r="E31" s="1"/>
      <c r="F31" s="1"/>
    </row>
    <row r="32" spans="1:6" x14ac:dyDescent="0.25">
      <c r="A32" s="1"/>
      <c r="B32" s="33" t="s">
        <v>202</v>
      </c>
      <c r="C32" s="9">
        <v>0</v>
      </c>
      <c r="D32" s="40" t="s">
        <v>3</v>
      </c>
      <c r="E32" s="1"/>
      <c r="F32" s="1"/>
    </row>
    <row r="33" spans="1:6" x14ac:dyDescent="0.25">
      <c r="A33" s="1"/>
      <c r="B33" s="131"/>
      <c r="C33" s="132"/>
      <c r="D33" s="133"/>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9"/>
      <c r="B50" s="49"/>
      <c r="C50" s="49"/>
      <c r="D50" s="49"/>
      <c r="E50" s="49"/>
      <c r="F50" s="49"/>
    </row>
    <row r="51" spans="1:6" x14ac:dyDescent="0.25">
      <c r="A51" s="49"/>
      <c r="B51" s="49"/>
      <c r="C51" s="49"/>
      <c r="D51" s="49"/>
      <c r="E51" s="49"/>
      <c r="F51" s="49"/>
    </row>
    <row r="52" spans="1:6" x14ac:dyDescent="0.25">
      <c r="A52" s="49"/>
      <c r="B52" s="49"/>
      <c r="C52" s="49"/>
      <c r="D52" s="49"/>
      <c r="E52" s="49"/>
      <c r="F52" s="49"/>
    </row>
    <row r="53" spans="1:6" x14ac:dyDescent="0.25">
      <c r="A53" s="49"/>
      <c r="B53" s="49"/>
      <c r="C53" s="49"/>
      <c r="D53" s="49"/>
      <c r="E53" s="49"/>
      <c r="F53" s="49"/>
    </row>
  </sheetData>
  <sheetProtection algorithmName="SHA-512" hashValue="IsiFJrwbgYT5H5FZNc57ETxPkVsZMg4LoJaEjoK5aNvzLigfB2PnWQLH0hQgdVTUgR9U0mCJXLOcHg6a2Uliag==" saltValue="o5e7zSSx7YIo2GfkNsjZIw==" spinCount="100000" sheet="1" objects="1" scenarios="1"/>
  <mergeCells count="6">
    <mergeCell ref="B33:D33"/>
    <mergeCell ref="B3:D4"/>
    <mergeCell ref="B8:D8"/>
    <mergeCell ref="B20:D20"/>
    <mergeCell ref="B28:D28"/>
    <mergeCell ref="B25:D25"/>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2"/>
  <sheetViews>
    <sheetView showGridLines="0" view="pageLayout" zoomScale="90" zoomScaleNormal="100" zoomScalePageLayoutView="90" workbookViewId="0"/>
  </sheetViews>
  <sheetFormatPr defaultColWidth="9.140625" defaultRowHeight="15" x14ac:dyDescent="0.25"/>
  <cols>
    <col min="1" max="1" width="3.5703125" style="2" customWidth="1"/>
    <col min="2" max="3" width="9.140625" style="2"/>
    <col min="4" max="4" width="43.7109375" style="2" customWidth="1"/>
    <col min="5" max="5" width="14.140625" style="2"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203</v>
      </c>
      <c r="C3" s="139"/>
      <c r="D3" s="139"/>
      <c r="E3" s="139"/>
      <c r="F3" s="139"/>
      <c r="G3" s="1"/>
    </row>
    <row r="4" spans="1:7" ht="15" customHeight="1" x14ac:dyDescent="0.25">
      <c r="A4" s="1"/>
      <c r="B4" s="139"/>
      <c r="C4" s="139"/>
      <c r="D4" s="139"/>
      <c r="E4" s="139"/>
      <c r="F4" s="139"/>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41" t="s">
        <v>204</v>
      </c>
      <c r="C9" s="142"/>
      <c r="D9" s="143"/>
      <c r="E9" s="9">
        <v>-1018054.5982264429</v>
      </c>
      <c r="F9" s="14" t="s">
        <v>3</v>
      </c>
      <c r="G9" s="1"/>
    </row>
    <row r="10" spans="1:7" x14ac:dyDescent="0.25">
      <c r="A10" s="1"/>
      <c r="B10" s="141" t="s">
        <v>263</v>
      </c>
      <c r="C10" s="142"/>
      <c r="D10" s="143"/>
      <c r="E10" s="9">
        <v>0</v>
      </c>
      <c r="F10" s="14" t="s">
        <v>3</v>
      </c>
      <c r="G10" s="1"/>
    </row>
    <row r="11" spans="1:7" x14ac:dyDescent="0.25">
      <c r="A11" s="1"/>
      <c r="B11" s="32"/>
      <c r="C11" s="27"/>
      <c r="D11" s="27"/>
      <c r="E11" s="27"/>
      <c r="F11" s="19"/>
      <c r="G11" s="1"/>
    </row>
    <row r="12" spans="1:7" ht="66.75" customHeight="1" x14ac:dyDescent="0.25">
      <c r="A12" s="1"/>
      <c r="B12" s="134" t="s">
        <v>296</v>
      </c>
      <c r="C12" s="135"/>
      <c r="D12" s="135"/>
      <c r="E12" s="135"/>
      <c r="F12" s="136"/>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41" t="s">
        <v>290</v>
      </c>
      <c r="C15" s="142"/>
      <c r="D15" s="143"/>
      <c r="E15" s="9">
        <v>0</v>
      </c>
      <c r="F15" s="14" t="s">
        <v>3</v>
      </c>
      <c r="G15" s="1"/>
    </row>
    <row r="16" spans="1:7" x14ac:dyDescent="0.25">
      <c r="A16" s="1"/>
      <c r="B16" s="141" t="s">
        <v>291</v>
      </c>
      <c r="C16" s="142"/>
      <c r="D16" s="143"/>
      <c r="E16" s="9">
        <v>0</v>
      </c>
      <c r="F16" s="14" t="s">
        <v>3</v>
      </c>
      <c r="G16" s="1"/>
    </row>
    <row r="17" spans="1:7" x14ac:dyDescent="0.25">
      <c r="A17" s="1"/>
      <c r="B17" s="32"/>
      <c r="C17" s="27"/>
      <c r="D17" s="27"/>
      <c r="E17" s="27"/>
      <c r="F17" s="19"/>
      <c r="G17" s="1"/>
    </row>
    <row r="18" spans="1:7" ht="29.25" customHeight="1" x14ac:dyDescent="0.25">
      <c r="A18" s="1"/>
      <c r="B18" s="134" t="s">
        <v>297</v>
      </c>
      <c r="C18" s="135"/>
      <c r="D18" s="135"/>
      <c r="E18" s="135"/>
      <c r="F18" s="136"/>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117240488.05560283</v>
      </c>
      <c r="F21" s="14" t="s">
        <v>3</v>
      </c>
      <c r="G21" s="1"/>
    </row>
    <row r="22" spans="1:7" x14ac:dyDescent="0.25">
      <c r="A22" s="1"/>
      <c r="B22" s="91" t="s">
        <v>207</v>
      </c>
      <c r="C22" s="92"/>
      <c r="D22" s="93"/>
      <c r="E22" s="44">
        <v>112219853</v>
      </c>
      <c r="F22" s="14" t="s">
        <v>3</v>
      </c>
      <c r="G22" s="1"/>
    </row>
    <row r="23" spans="1:7" x14ac:dyDescent="0.25">
      <c r="A23" s="1"/>
      <c r="B23" s="91" t="s">
        <v>33</v>
      </c>
      <c r="C23" s="92"/>
      <c r="D23" s="93"/>
      <c r="E23" s="9">
        <v>20000</v>
      </c>
      <c r="F23" s="14" t="s">
        <v>3</v>
      </c>
      <c r="G23" s="1"/>
    </row>
    <row r="24" spans="1:7" x14ac:dyDescent="0.25">
      <c r="A24" s="1"/>
      <c r="B24" s="88" t="s">
        <v>271</v>
      </c>
      <c r="C24" s="89"/>
      <c r="D24" s="96"/>
      <c r="E24" s="72">
        <f>E21-(E22-E23)</f>
        <v>5040635.0556028336</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292</v>
      </c>
      <c r="C27" s="132"/>
      <c r="D27" s="132"/>
      <c r="E27" s="132"/>
      <c r="F27" s="133"/>
      <c r="G27" s="1"/>
    </row>
    <row r="28" spans="1:7" x14ac:dyDescent="0.25">
      <c r="A28" s="1"/>
      <c r="B28" s="137" t="s">
        <v>293</v>
      </c>
      <c r="C28" s="138"/>
      <c r="D28" s="162"/>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5" t="s">
        <v>143</v>
      </c>
      <c r="C32" s="156"/>
      <c r="D32" s="157"/>
      <c r="E32" s="74">
        <f>IF(AND(E9&gt;0,(E9+E24)&gt;0),0,IF(AND(E9&gt;0,(E9+E24)&lt;0),(E9+E24),IF(AND(E9&lt;0,E24&lt;0),E24,0)))</f>
        <v>0</v>
      </c>
      <c r="F32" s="14" t="s">
        <v>3</v>
      </c>
      <c r="G32" s="1"/>
    </row>
    <row r="33" spans="1:7" x14ac:dyDescent="0.25">
      <c r="A33" s="1"/>
      <c r="B33" s="155" t="s">
        <v>102</v>
      </c>
      <c r="C33" s="156"/>
      <c r="D33" s="157"/>
      <c r="E33" s="9">
        <v>4</v>
      </c>
      <c r="F33" s="14" t="s">
        <v>20</v>
      </c>
      <c r="G33" s="1"/>
    </row>
    <row r="34" spans="1:7" x14ac:dyDescent="0.25">
      <c r="A34" s="1"/>
      <c r="B34" s="158" t="s">
        <v>144</v>
      </c>
      <c r="C34" s="158"/>
      <c r="D34" s="158"/>
      <c r="E34" s="73">
        <f>E32/E33</f>
        <v>0</v>
      </c>
      <c r="F34" s="17" t="s">
        <v>3</v>
      </c>
      <c r="G34" s="1"/>
    </row>
    <row r="35" spans="1:7" x14ac:dyDescent="0.25">
      <c r="A35" s="1"/>
      <c r="B35" s="159"/>
      <c r="C35" s="160"/>
      <c r="D35" s="160"/>
      <c r="E35" s="160"/>
      <c r="F35" s="16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B40" s="49"/>
      <c r="C40" s="49"/>
      <c r="D40" s="49"/>
      <c r="E40" s="49"/>
      <c r="F40" s="49"/>
    </row>
    <row r="41" spans="1:7" x14ac:dyDescent="0.25">
      <c r="A41" s="49"/>
      <c r="B41" s="49"/>
      <c r="C41" s="49"/>
      <c r="D41" s="49"/>
      <c r="E41" s="49"/>
      <c r="F41" s="49"/>
      <c r="G41" s="49"/>
    </row>
    <row r="42" spans="1:7" x14ac:dyDescent="0.25">
      <c r="A42" s="49"/>
      <c r="B42" s="49"/>
      <c r="C42" s="49"/>
      <c r="D42" s="49"/>
      <c r="E42" s="49"/>
      <c r="F42" s="49"/>
      <c r="G42" s="49"/>
    </row>
  </sheetData>
  <sheetProtection algorithmName="SHA-512" hashValue="V3+ZXXUkXPf/OrA6s4EKTWud37e6cRmsEjkPmqEbhHa0bme5PKGpK6OPh3wKQa/MPjueauwWKGU4QOJ1udU6eA==" saltValue="EUfm6DL9mdbdoo+/eBdyNQ=="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3" t="s">
        <v>250</v>
      </c>
      <c r="C3" s="123"/>
      <c r="D3" s="123"/>
      <c r="E3" s="123"/>
      <c r="F3" s="123"/>
      <c r="G3" s="123"/>
      <c r="H3" s="123"/>
      <c r="I3" s="1"/>
    </row>
    <row r="4" spans="1:9" ht="15" customHeight="1" x14ac:dyDescent="0.25">
      <c r="A4" s="1"/>
      <c r="B4" s="123"/>
      <c r="C4" s="123"/>
      <c r="D4" s="123"/>
      <c r="E4" s="123"/>
      <c r="F4" s="123"/>
      <c r="G4" s="123"/>
      <c r="H4" s="12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63" t="s">
        <v>275</v>
      </c>
      <c r="C10" s="164"/>
      <c r="D10" s="164"/>
      <c r="E10" s="164"/>
      <c r="F10" s="165"/>
      <c r="G10" s="9">
        <v>0</v>
      </c>
      <c r="H10" s="9" t="s">
        <v>3</v>
      </c>
      <c r="I10" s="1"/>
    </row>
    <row r="11" spans="1:9" x14ac:dyDescent="0.25">
      <c r="A11" s="1"/>
      <c r="B11" s="163" t="s">
        <v>276</v>
      </c>
      <c r="C11" s="164"/>
      <c r="D11" s="164"/>
      <c r="E11" s="164"/>
      <c r="F11" s="165"/>
      <c r="G11" s="9">
        <v>0</v>
      </c>
      <c r="H11" s="9" t="s">
        <v>3</v>
      </c>
      <c r="I11" s="1"/>
    </row>
    <row r="12" spans="1:9" x14ac:dyDescent="0.25">
      <c r="A12" s="1"/>
      <c r="B12" s="163" t="s">
        <v>277</v>
      </c>
      <c r="C12" s="164"/>
      <c r="D12" s="164"/>
      <c r="E12" s="164"/>
      <c r="F12" s="165"/>
      <c r="G12" s="9">
        <v>0</v>
      </c>
      <c r="H12" s="9" t="s">
        <v>3</v>
      </c>
      <c r="I12" s="1"/>
    </row>
    <row r="13" spans="1:9" x14ac:dyDescent="0.25">
      <c r="A13" s="1"/>
      <c r="B13" s="163" t="s">
        <v>278</v>
      </c>
      <c r="C13" s="164"/>
      <c r="D13" s="164"/>
      <c r="E13" s="164"/>
      <c r="F13" s="165"/>
      <c r="G13" s="9">
        <v>0</v>
      </c>
      <c r="H13" s="9" t="s">
        <v>3</v>
      </c>
      <c r="I13" s="1"/>
    </row>
    <row r="14" spans="1:9" x14ac:dyDescent="0.25">
      <c r="A14" s="1"/>
      <c r="B14" s="163" t="s">
        <v>279</v>
      </c>
      <c r="C14" s="164"/>
      <c r="D14" s="164"/>
      <c r="E14" s="164"/>
      <c r="F14" s="165"/>
      <c r="G14" s="9">
        <v>0</v>
      </c>
      <c r="H14" s="9" t="s">
        <v>3</v>
      </c>
      <c r="I14" s="1"/>
    </row>
    <row r="15" spans="1:9" x14ac:dyDescent="0.25">
      <c r="A15" s="1"/>
      <c r="B15" s="163" t="s">
        <v>280</v>
      </c>
      <c r="C15" s="164"/>
      <c r="D15" s="164"/>
      <c r="E15" s="164"/>
      <c r="F15" s="165"/>
      <c r="G15" s="9">
        <v>0</v>
      </c>
      <c r="H15" s="9" t="s">
        <v>3</v>
      </c>
      <c r="I15" s="1"/>
    </row>
    <row r="16" spans="1:9" x14ac:dyDescent="0.25">
      <c r="A16" s="1"/>
      <c r="B16" s="163" t="s">
        <v>281</v>
      </c>
      <c r="C16" s="164"/>
      <c r="D16" s="164"/>
      <c r="E16" s="164"/>
      <c r="F16" s="165"/>
      <c r="G16" s="9">
        <v>0</v>
      </c>
      <c r="H16" s="9" t="s">
        <v>3</v>
      </c>
      <c r="I16" s="1"/>
    </row>
    <row r="17" spans="1:9" x14ac:dyDescent="0.25">
      <c r="A17" s="1"/>
      <c r="B17" s="163" t="s">
        <v>282</v>
      </c>
      <c r="C17" s="164"/>
      <c r="D17" s="164"/>
      <c r="E17" s="164"/>
      <c r="F17" s="165"/>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7x+0Pb15YSqoEmfvk0zosJgRYxEEIAlr6CVsf2Bl7j/oaL/MyZdvEpzCmr6pFwyifX1O2Kys+BemYg2tQPsD+Q==" saltValue="/YWoAn63IZ+RHOOUSvfMzA=="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254</v>
      </c>
      <c r="C3" s="139"/>
      <c r="D3" s="139"/>
      <c r="E3" s="139"/>
      <c r="F3" s="139"/>
      <c r="G3" s="1"/>
    </row>
    <row r="4" spans="1:7" ht="1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34" t="s">
        <v>100</v>
      </c>
      <c r="C10" s="135"/>
      <c r="D10" s="136"/>
      <c r="E10" s="7">
        <v>0</v>
      </c>
      <c r="F10" s="8" t="s">
        <v>3</v>
      </c>
      <c r="G10" s="1"/>
    </row>
    <row r="11" spans="1:7" x14ac:dyDescent="0.25">
      <c r="A11" s="1"/>
      <c r="B11" s="141" t="s">
        <v>209</v>
      </c>
      <c r="C11" s="142"/>
      <c r="D11" s="143"/>
      <c r="E11" s="7">
        <v>0</v>
      </c>
      <c r="F11" s="8" t="s">
        <v>3</v>
      </c>
      <c r="G11" s="1"/>
    </row>
    <row r="12" spans="1:7" x14ac:dyDescent="0.25">
      <c r="A12" s="1"/>
      <c r="B12" s="137" t="s">
        <v>101</v>
      </c>
      <c r="C12" s="138"/>
      <c r="D12" s="162"/>
      <c r="E12" s="10">
        <f>E11-E10</f>
        <v>0</v>
      </c>
      <c r="F12" s="11" t="s">
        <v>3</v>
      </c>
      <c r="G12" s="1"/>
    </row>
    <row r="13" spans="1:7" x14ac:dyDescent="0.25">
      <c r="A13" s="1"/>
      <c r="B13" s="131" t="s">
        <v>94</v>
      </c>
      <c r="C13" s="132"/>
      <c r="D13" s="132"/>
      <c r="E13" s="132"/>
      <c r="F13" s="133"/>
      <c r="G13" s="1"/>
    </row>
    <row r="14" spans="1:7" x14ac:dyDescent="0.25">
      <c r="A14" s="1"/>
      <c r="B14" s="141" t="s">
        <v>210</v>
      </c>
      <c r="C14" s="142"/>
      <c r="D14" s="143"/>
      <c r="E14" s="9">
        <v>1678803</v>
      </c>
      <c r="F14" s="8" t="s">
        <v>3</v>
      </c>
      <c r="G14" s="1"/>
    </row>
    <row r="15" spans="1:7" x14ac:dyDescent="0.25">
      <c r="A15" s="1"/>
      <c r="B15" s="134" t="s">
        <v>211</v>
      </c>
      <c r="C15" s="135"/>
      <c r="D15" s="136"/>
      <c r="E15" s="9">
        <v>151442</v>
      </c>
      <c r="F15" s="8" t="s">
        <v>3</v>
      </c>
      <c r="G15" s="1"/>
    </row>
    <row r="16" spans="1:7" x14ac:dyDescent="0.25">
      <c r="A16" s="1"/>
      <c r="B16" s="137" t="s">
        <v>101</v>
      </c>
      <c r="C16" s="138"/>
      <c r="D16" s="162"/>
      <c r="E16" s="10">
        <f>E15-E14</f>
        <v>-1527361</v>
      </c>
      <c r="F16" s="11" t="s">
        <v>3</v>
      </c>
      <c r="G16" s="1"/>
    </row>
    <row r="17" spans="1:7" x14ac:dyDescent="0.25">
      <c r="A17" s="1"/>
      <c r="B17" s="32" t="s">
        <v>212</v>
      </c>
      <c r="C17" s="27"/>
      <c r="D17" s="27"/>
      <c r="E17" s="12">
        <f>E12+E16</f>
        <v>-1527361</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nalOyN0iPX/mgOZjAk2dE0RLsdRB0OKSON7fzrCCP7Tj1O5HRXuz/DWz8KejqGMUy4V6cPTsvo0fYrPRUM44g==" saltValue="L7MuH4SM6fEckvYPvTVTg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1"/>
  <sheetViews>
    <sheetView showGridLines="0" view="pageLayout" zoomScaleNormal="100" workbookViewId="0"/>
  </sheetViews>
  <sheetFormatPr defaultColWidth="9.140625" defaultRowHeight="15" x14ac:dyDescent="0.25"/>
  <cols>
    <col min="1" max="1" width="3.85546875" style="2" customWidth="1"/>
    <col min="2" max="2" width="24.2851562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3" t="s">
        <v>255</v>
      </c>
      <c r="C3" s="123"/>
      <c r="D3" s="123"/>
      <c r="E3" s="123"/>
      <c r="F3" s="123"/>
      <c r="G3" s="123"/>
      <c r="H3" s="123"/>
      <c r="I3" s="123"/>
      <c r="J3" s="123"/>
      <c r="K3" s="123"/>
      <c r="L3" s="1"/>
    </row>
    <row r="4" spans="1:12" ht="15" customHeight="1" x14ac:dyDescent="0.25">
      <c r="A4" s="1"/>
      <c r="B4" s="123"/>
      <c r="C4" s="123"/>
      <c r="D4" s="123"/>
      <c r="E4" s="123"/>
      <c r="F4" s="123"/>
      <c r="G4" s="123"/>
      <c r="H4" s="123"/>
      <c r="I4" s="123"/>
      <c r="J4" s="123"/>
      <c r="K4" s="12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6" t="s">
        <v>245</v>
      </c>
      <c r="E9" s="167"/>
      <c r="F9" s="166" t="s">
        <v>2</v>
      </c>
      <c r="G9" s="167"/>
      <c r="H9" s="166" t="s">
        <v>244</v>
      </c>
      <c r="I9" s="167"/>
      <c r="J9" s="166" t="s">
        <v>30</v>
      </c>
      <c r="K9" s="167"/>
      <c r="L9" s="1"/>
    </row>
    <row r="10" spans="1:12" x14ac:dyDescent="0.25">
      <c r="A10" s="1"/>
      <c r="B10" s="97" t="s">
        <v>283</v>
      </c>
      <c r="C10" s="41">
        <v>75</v>
      </c>
      <c r="D10" s="9">
        <v>2562.98</v>
      </c>
      <c r="E10" s="14" t="s">
        <v>3</v>
      </c>
      <c r="F10" s="9">
        <f>IFERROR(D10/C10,0)</f>
        <v>34.173066666666664</v>
      </c>
      <c r="G10" s="14" t="s">
        <v>3</v>
      </c>
      <c r="H10" s="44">
        <v>0</v>
      </c>
      <c r="I10" s="14" t="s">
        <v>3</v>
      </c>
      <c r="J10" s="44">
        <v>54.08</v>
      </c>
      <c r="K10" s="14" t="s">
        <v>3</v>
      </c>
      <c r="L10" s="1"/>
    </row>
    <row r="11" spans="1:12" ht="26.25" x14ac:dyDescent="0.25">
      <c r="A11" s="1"/>
      <c r="B11" s="97" t="s">
        <v>284</v>
      </c>
      <c r="C11" s="41">
        <v>20</v>
      </c>
      <c r="D11" s="9">
        <v>0</v>
      </c>
      <c r="E11" s="14" t="s">
        <v>3</v>
      </c>
      <c r="F11" s="9">
        <f t="shared" ref="F11:F17" si="0">IFERROR(D11/C11,0)</f>
        <v>0</v>
      </c>
      <c r="G11" s="14" t="s">
        <v>3</v>
      </c>
      <c r="H11" s="44">
        <v>36558</v>
      </c>
      <c r="I11" s="14" t="s">
        <v>3</v>
      </c>
      <c r="J11" s="44">
        <v>0</v>
      </c>
      <c r="K11" s="14" t="s">
        <v>3</v>
      </c>
      <c r="L11" s="1"/>
    </row>
    <row r="12" spans="1:12" ht="39" x14ac:dyDescent="0.25">
      <c r="A12" s="1"/>
      <c r="B12" s="97" t="s">
        <v>285</v>
      </c>
      <c r="C12" s="41">
        <v>20</v>
      </c>
      <c r="D12" s="9">
        <v>26424.92</v>
      </c>
      <c r="E12" s="14" t="s">
        <v>3</v>
      </c>
      <c r="F12" s="9">
        <f t="shared" si="0"/>
        <v>1321.2459999999999</v>
      </c>
      <c r="G12" s="14" t="s">
        <v>3</v>
      </c>
      <c r="H12" s="44">
        <v>36559</v>
      </c>
      <c r="I12" s="14" t="s">
        <v>3</v>
      </c>
      <c r="J12" s="44">
        <v>557.57000000000005</v>
      </c>
      <c r="K12" s="14" t="s">
        <v>3</v>
      </c>
      <c r="L12" s="1"/>
    </row>
    <row r="13" spans="1:12" ht="39" x14ac:dyDescent="0.25">
      <c r="A13" s="1"/>
      <c r="B13" s="97" t="s">
        <v>286</v>
      </c>
      <c r="C13" s="41">
        <v>10</v>
      </c>
      <c r="D13" s="9">
        <v>1247.0899999999999</v>
      </c>
      <c r="E13" s="14" t="s">
        <v>3</v>
      </c>
      <c r="F13" s="9">
        <f t="shared" si="0"/>
        <v>124.70899999999999</v>
      </c>
      <c r="G13" s="14" t="s">
        <v>3</v>
      </c>
      <c r="H13" s="44">
        <v>0</v>
      </c>
      <c r="I13" s="14" t="s">
        <v>3</v>
      </c>
      <c r="J13" s="44">
        <v>26.31</v>
      </c>
      <c r="K13" s="14" t="s">
        <v>3</v>
      </c>
      <c r="L13" s="1"/>
    </row>
    <row r="14" spans="1:12" ht="26.25" x14ac:dyDescent="0.25">
      <c r="A14" s="1"/>
      <c r="B14" s="97" t="s">
        <v>287</v>
      </c>
      <c r="C14" s="41">
        <v>75</v>
      </c>
      <c r="D14" s="9">
        <v>0</v>
      </c>
      <c r="E14" s="14" t="s">
        <v>3</v>
      </c>
      <c r="F14" s="9">
        <f t="shared" si="0"/>
        <v>0</v>
      </c>
      <c r="G14" s="14" t="s">
        <v>3</v>
      </c>
      <c r="H14" s="44">
        <v>123831</v>
      </c>
      <c r="I14" s="14" t="s">
        <v>3</v>
      </c>
      <c r="J14" s="44">
        <v>0</v>
      </c>
      <c r="K14" s="14" t="s">
        <v>3</v>
      </c>
      <c r="L14" s="1"/>
    </row>
    <row r="15" spans="1:12" ht="26.25" x14ac:dyDescent="0.25">
      <c r="A15" s="1"/>
      <c r="B15" s="97" t="s">
        <v>287</v>
      </c>
      <c r="C15" s="41">
        <v>75</v>
      </c>
      <c r="D15" s="9">
        <v>22055.91</v>
      </c>
      <c r="E15" s="14" t="s">
        <v>3</v>
      </c>
      <c r="F15" s="9">
        <f t="shared" si="0"/>
        <v>294.0788</v>
      </c>
      <c r="G15" s="14" t="s">
        <v>3</v>
      </c>
      <c r="H15" s="44">
        <v>30107</v>
      </c>
      <c r="I15" s="14" t="s">
        <v>3</v>
      </c>
      <c r="J15" s="44">
        <v>465.38</v>
      </c>
      <c r="K15" s="14" t="s">
        <v>3</v>
      </c>
      <c r="L15" s="1"/>
    </row>
    <row r="16" spans="1:12" ht="26.25" x14ac:dyDescent="0.25">
      <c r="A16" s="1"/>
      <c r="B16" s="97" t="s">
        <v>288</v>
      </c>
      <c r="C16" s="41">
        <v>75</v>
      </c>
      <c r="D16" s="9">
        <v>39018.339999999997</v>
      </c>
      <c r="E16" s="14" t="s">
        <v>3</v>
      </c>
      <c r="F16" s="9">
        <f t="shared" si="0"/>
        <v>520.24453333333327</v>
      </c>
      <c r="G16" s="14" t="s">
        <v>3</v>
      </c>
      <c r="H16" s="44">
        <v>17015</v>
      </c>
      <c r="I16" s="14" t="s">
        <v>3</v>
      </c>
      <c r="J16" s="44">
        <v>823.29</v>
      </c>
      <c r="K16" s="14" t="s">
        <v>3</v>
      </c>
      <c r="L16" s="1"/>
    </row>
    <row r="17" spans="1:12" ht="26.25" x14ac:dyDescent="0.25">
      <c r="A17" s="1"/>
      <c r="B17" s="97" t="s">
        <v>289</v>
      </c>
      <c r="C17" s="41">
        <v>75</v>
      </c>
      <c r="D17" s="9">
        <v>0</v>
      </c>
      <c r="E17" s="14" t="s">
        <v>3</v>
      </c>
      <c r="F17" s="9">
        <f t="shared" si="0"/>
        <v>0</v>
      </c>
      <c r="G17" s="14" t="s">
        <v>3</v>
      </c>
      <c r="H17" s="44">
        <v>48263</v>
      </c>
      <c r="I17" s="14" t="s">
        <v>3</v>
      </c>
      <c r="J17" s="44">
        <v>0</v>
      </c>
      <c r="K17" s="14" t="s">
        <v>3</v>
      </c>
      <c r="L17" s="1"/>
    </row>
    <row r="18" spans="1:12" x14ac:dyDescent="0.25">
      <c r="A18" s="1"/>
      <c r="B18" s="85" t="s">
        <v>220</v>
      </c>
      <c r="C18" s="86"/>
      <c r="D18" s="87"/>
      <c r="E18" s="87"/>
      <c r="F18" s="12">
        <f>SUM(F10:F17)</f>
        <v>2294.4513999999999</v>
      </c>
      <c r="G18" s="12" t="s">
        <v>243</v>
      </c>
      <c r="H18" s="12">
        <f>SUM(H10:H17)</f>
        <v>292333</v>
      </c>
      <c r="I18" s="12" t="s">
        <v>243</v>
      </c>
      <c r="J18" s="12">
        <f>SUM(J10:J17)</f>
        <v>1926.63</v>
      </c>
      <c r="K18" s="13" t="s">
        <v>3</v>
      </c>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sheetData>
  <sheetProtection algorithmName="SHA-512" hashValue="k6AfXssZP2yzpbrcruW443C9I58y+RBXm/gUJpy4vuN8G+QSfauXdUx9ZMnPffmCLdbuweAYVhCXQ0Gs5ezNlA==" saltValue="J3zOgb5PYM74QpZqwa6GC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256</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19)'!H18</f>
        <v>292333</v>
      </c>
      <c r="D10" s="14" t="s">
        <v>3</v>
      </c>
      <c r="E10" s="9">
        <f>SUM('Fane 10. Anlægsprojekter (§ 19)'!F18,'Fane 10. Anlægsprojekter (§ 19)'!J18)</f>
        <v>4221.0814</v>
      </c>
      <c r="F10" s="14" t="s">
        <v>3</v>
      </c>
      <c r="G10" s="1"/>
    </row>
    <row r="11" spans="1:7" x14ac:dyDescent="0.25">
      <c r="A11" s="1"/>
      <c r="B11" s="23" t="s">
        <v>273</v>
      </c>
      <c r="C11" s="21">
        <v>857408</v>
      </c>
      <c r="D11" s="14" t="s">
        <v>3</v>
      </c>
      <c r="E11" s="9">
        <v>145433</v>
      </c>
      <c r="F11" s="14" t="s">
        <v>3</v>
      </c>
      <c r="G11" s="1"/>
    </row>
    <row r="12" spans="1:7" x14ac:dyDescent="0.25">
      <c r="A12" s="1"/>
      <c r="B12" s="23" t="s">
        <v>274</v>
      </c>
      <c r="C12" s="21">
        <v>52922</v>
      </c>
      <c r="D12" s="14" t="s">
        <v>3</v>
      </c>
      <c r="E12" s="9">
        <v>1078304</v>
      </c>
      <c r="F12" s="14" t="s">
        <v>3</v>
      </c>
      <c r="G12" s="1"/>
    </row>
    <row r="13" spans="1:7" x14ac:dyDescent="0.25">
      <c r="A13" s="1"/>
      <c r="B13" s="32" t="s">
        <v>156</v>
      </c>
      <c r="C13" s="12">
        <f>SUM(C10:C12)</f>
        <v>1202663</v>
      </c>
      <c r="D13" s="13" t="s">
        <v>3</v>
      </c>
      <c r="E13" s="12">
        <f>SUM(E10:E12)</f>
        <v>1227958.0814</v>
      </c>
      <c r="F13" s="13" t="s">
        <v>3</v>
      </c>
      <c r="G13" s="1"/>
    </row>
    <row r="14" spans="1:7" x14ac:dyDescent="0.25">
      <c r="A14" s="1"/>
      <c r="B14" s="32" t="s">
        <v>213</v>
      </c>
      <c r="C14" s="12">
        <f>C13*(1+'Fane 15. Nøgletal'!C15)</f>
        <v>1245477.8028000002</v>
      </c>
      <c r="D14" s="13" t="s">
        <v>3</v>
      </c>
      <c r="E14" s="12">
        <f>E13*(1+'Fane 15. Nøgletal'!C15)</f>
        <v>1271673.3890978401</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8UKotU64G2kSN7Ty1uqja4TLWUmf8tv0pQljI56f3Jj7mr4xS7nzbiukdIg8oj6iabShRk2r6qyV9w4MJArq+A==" saltValue="JNebVEsDWbnp6tNTplP56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257</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3" t="s">
        <v>17</v>
      </c>
      <c r="C9" s="83" t="s">
        <v>11</v>
      </c>
      <c r="D9" s="84"/>
      <c r="E9" s="83" t="s">
        <v>31</v>
      </c>
      <c r="F9" s="31"/>
      <c r="G9" s="1"/>
    </row>
    <row r="10" spans="1:7" x14ac:dyDescent="0.25">
      <c r="A10" s="1"/>
      <c r="B10" s="23" t="s">
        <v>294</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8"/>
      <c r="C14" s="168"/>
      <c r="D14" s="168"/>
      <c r="E14" s="168"/>
      <c r="F14" s="168"/>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8"/>
      <c r="C28" s="168"/>
      <c r="D28" s="168"/>
      <c r="E28" s="168"/>
      <c r="F28" s="168"/>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FnyG4gcM7jDTSrTY+t+URCUGVqKTRQQE6KYNL40WmlcbH2Bk5GV7n4NqxLXySp+L/O8vfmkDRWjynfSSGnif5A==" saltValue="c7mPe3RJCU9E8gI2D4AS+w=="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258</v>
      </c>
      <c r="C3" s="139"/>
      <c r="D3" s="139"/>
      <c r="E3" s="139"/>
      <c r="F3" s="139"/>
      <c r="G3" s="1"/>
    </row>
    <row r="4" spans="1:7" ht="15" customHeight="1" x14ac:dyDescent="0.25">
      <c r="A4" s="1"/>
      <c r="B4" s="139"/>
      <c r="C4" s="139"/>
      <c r="D4" s="139"/>
      <c r="E4" s="139"/>
      <c r="F4" s="139"/>
      <c r="G4" s="1"/>
    </row>
    <row r="5" spans="1:7" x14ac:dyDescent="0.25">
      <c r="A5" s="1"/>
      <c r="B5" s="139"/>
      <c r="C5" s="139"/>
      <c r="D5" s="139"/>
      <c r="E5" s="139"/>
      <c r="F5" s="139"/>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63" t="s">
        <v>224</v>
      </c>
      <c r="C10" s="164"/>
      <c r="D10" s="165"/>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63" t="s">
        <v>224</v>
      </c>
      <c r="C16" s="164"/>
      <c r="D16" s="165"/>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63" t="s">
        <v>224</v>
      </c>
      <c r="C22" s="164"/>
      <c r="D22" s="165"/>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63" t="s">
        <v>224</v>
      </c>
      <c r="C28" s="164"/>
      <c r="D28" s="165"/>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8mhd4zXSVrk0TO6y7MQD6Nn45465B7N9pqe8n6ZGj37jkfON8fwErIjIXP+LOfaz55iWldU3UaTuvKVZKC2CfA==" saltValue="eBlCtdx7SxiCuJYulMGOt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3.140625" style="2" customWidth="1"/>
    <col min="2" max="2" width="40.28515625" style="2" customWidth="1"/>
    <col min="3" max="3" width="15.5703125" style="2" customWidth="1"/>
    <col min="4" max="4" width="3.28515625" style="2" customWidth="1"/>
    <col min="5" max="5" width="17.140625" style="2"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259</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272</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4y0BjFnqWHjxs5td3aFQ5htUaOMO03J9BPJEri59GwsTbW8ik9wfml+QQu3aSKMsWXHIy7ACd9F9HAF2Q2N4Dw==" saltValue="HpGPFMPPCrI476ApXJGOX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260</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8"/>
      <c r="C27" s="168"/>
      <c r="D27" s="168"/>
      <c r="E27" s="168"/>
      <c r="F27" s="168"/>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p8xUczkPLBKyg6UAsAZ3iXy36x15K9x+wnNhMngyFhkJdZVRVgnKtgpXydQ7PNbznK89eAwstbjZIkVP6oxnxA==" saltValue="cUNIpDACiDxBhth8nifH3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181</v>
      </c>
      <c r="C3" s="123"/>
      <c r="D3" s="123"/>
      <c r="E3" s="1"/>
    </row>
    <row r="4" spans="1:5" ht="15" customHeight="1" x14ac:dyDescent="0.25">
      <c r="A4" s="1"/>
      <c r="B4" s="123"/>
      <c r="C4" s="123"/>
      <c r="D4" s="12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109824123.77679379</v>
      </c>
      <c r="D9" s="8" t="s">
        <v>3</v>
      </c>
      <c r="E9" s="1"/>
    </row>
    <row r="10" spans="1:5" ht="17.25" customHeight="1" x14ac:dyDescent="0.25">
      <c r="A10" s="1"/>
      <c r="B10" s="82" t="s">
        <v>39</v>
      </c>
      <c r="C10" s="7">
        <f>'Fane 11.1. Varige tillæg'!C14</f>
        <v>1245477.8028000002</v>
      </c>
      <c r="D10" s="8" t="s">
        <v>3</v>
      </c>
      <c r="E10" s="1"/>
    </row>
    <row r="11" spans="1:5" ht="17.25" customHeight="1" x14ac:dyDescent="0.25">
      <c r="A11" s="1"/>
      <c r="B11" s="82" t="s">
        <v>40</v>
      </c>
      <c r="C11" s="9">
        <f>'Fane 11.1. Varige tillæg'!E14</f>
        <v>1271673.3890978401</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452030.19089498266</v>
      </c>
      <c r="D16" s="8" t="s">
        <v>3</v>
      </c>
      <c r="E16" s="1"/>
    </row>
    <row r="17" spans="1:5" ht="17.25" customHeight="1" x14ac:dyDescent="0.25">
      <c r="A17" s="1"/>
      <c r="B17" s="82" t="s">
        <v>10</v>
      </c>
      <c r="C17" s="44">
        <f>-SUM(C9,C10:C16)*'Fane 5. Individuelt eff. krav'!G9</f>
        <v>-2255866.1031917324</v>
      </c>
      <c r="D17" s="8" t="s">
        <v>3</v>
      </c>
      <c r="E17" s="1"/>
    </row>
    <row r="18" spans="1:5" ht="17.25" customHeight="1" x14ac:dyDescent="0.25">
      <c r="A18" s="1"/>
      <c r="B18" s="82" t="s">
        <v>24</v>
      </c>
      <c r="C18" s="44">
        <f>-'Fane 4.1. Gen. krav - drift'!G45</f>
        <v>-787289.3379334819</v>
      </c>
      <c r="D18" s="8" t="s">
        <v>3</v>
      </c>
      <c r="E18" s="1"/>
    </row>
    <row r="19" spans="1:5" ht="17.25" customHeight="1" x14ac:dyDescent="0.25">
      <c r="A19" s="1"/>
      <c r="B19" s="82" t="s">
        <v>25</v>
      </c>
      <c r="C19" s="44">
        <f>-'Fane 4.2. Gen. krav - anlæg'!G43</f>
        <v>-1151429.0181874759</v>
      </c>
      <c r="D19" s="8" t="s">
        <v>3</v>
      </c>
      <c r="E19" s="48"/>
    </row>
    <row r="20" spans="1:5" ht="17.25" customHeight="1" x14ac:dyDescent="0.25">
      <c r="A20" s="1"/>
      <c r="B20" s="88" t="s">
        <v>21</v>
      </c>
      <c r="C20" s="10">
        <f>SUM(C9:C19)</f>
        <v>108598720.70027392</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omk.'!C17+'Fane 6. Ikke-påvirkelige omk.'!C21+'Fane 6. Ikke-påvirkelige omk.'!C29</f>
        <v>5982152.2822478404</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0</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0</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-1527361</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113053511.98252176</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PE9WZKHZ2PU70kHNLCsnfFhCd41z5SznO6J2o5qEkld+UxoINiNRhiZUrhBisBXCgNywr4LKBFCIuT59P/1e7Q==" saltValue="aBdBxYjz1wmpSiaiabv4+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9" t="s">
        <v>261</v>
      </c>
      <c r="C3" s="139"/>
      <c r="D3" s="1"/>
    </row>
    <row r="4" spans="1:4" ht="25.5" customHeight="1" x14ac:dyDescent="0.25">
      <c r="A4" s="1"/>
      <c r="B4" s="139"/>
      <c r="C4" s="139"/>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udI1kPakVJTJuluuJvYR51nHReApE7keOFm5WZfShepSlgoW0ylEnckcH9HYZbJLk92L/DfSivA1Z7GTms0JJg==" saltValue="T9sAfIOMDaYI6ZzYdCn+O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186</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108598720.70027392</v>
      </c>
      <c r="D9" s="8" t="s">
        <v>3</v>
      </c>
      <c r="E9" s="1"/>
    </row>
    <row r="10" spans="1:5" ht="15" customHeight="1" x14ac:dyDescent="0.25">
      <c r="A10" s="1"/>
      <c r="B10" s="25" t="s">
        <v>19</v>
      </c>
      <c r="C10" s="7">
        <f>SUM(C9:C9)*'Fane 15. Nøgletal'!C15</f>
        <v>3866114.4569297512</v>
      </c>
      <c r="D10" s="8" t="s">
        <v>3</v>
      </c>
      <c r="E10" s="1"/>
    </row>
    <row r="11" spans="1:5" ht="15" customHeight="1" x14ac:dyDescent="0.25">
      <c r="A11" s="1"/>
      <c r="B11" s="25" t="s">
        <v>10</v>
      </c>
      <c r="C11" s="9">
        <f>-SUM(C9:C10)*'Fane 5. Individuelt eff. krav'!G9</f>
        <v>-2249296.7031440735</v>
      </c>
      <c r="D11" s="8" t="s">
        <v>3</v>
      </c>
      <c r="E11" s="1"/>
    </row>
    <row r="12" spans="1:5" ht="15" customHeight="1" x14ac:dyDescent="0.25">
      <c r="A12" s="1"/>
      <c r="B12" s="25" t="s">
        <v>24</v>
      </c>
      <c r="C12" s="9">
        <f>-'Fane 4.1. Gen. krav - drift'!G53</f>
        <v>-799010.50159663579</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109416527.95246297</v>
      </c>
      <c r="D14" s="11" t="s">
        <v>3</v>
      </c>
      <c r="E14" s="1"/>
    </row>
    <row r="15" spans="1:5" x14ac:dyDescent="0.25">
      <c r="A15" s="1"/>
      <c r="B15" s="32" t="s">
        <v>12</v>
      </c>
      <c r="C15" s="27"/>
      <c r="D15" s="19"/>
      <c r="E15" s="1"/>
    </row>
    <row r="16" spans="1:5" ht="15" customHeight="1" x14ac:dyDescent="0.25">
      <c r="A16" s="1"/>
      <c r="B16" s="30" t="s">
        <v>12</v>
      </c>
      <c r="C16" s="10">
        <f>'Fane 6. Ikke-påvirkelige omk.'!C17*(1+'Fane 15. Nøgletal'!C15)+'Fane 6. Ikke-påvirkelige omk.'!C22+'Fane 6. Ikke-påvirkelige omk.'!C30</f>
        <v>6135351.5166958636</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115551879.46915883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eRXzvM6avHq6denrt7Xb3ggFtyLX+oqtCxQ7y7U34tFOLWWlU4iTzXZTa3/IUgNlMoe/y58wrltnHgXhPAjFvA==" saltValue="BJ5B0DXt1T6dqlmbqTi0Q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187</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109416527.95246297</v>
      </c>
      <c r="D9" s="8" t="s">
        <v>3</v>
      </c>
      <c r="E9" s="1"/>
    </row>
    <row r="10" spans="1:5" ht="15" customHeight="1" x14ac:dyDescent="0.25">
      <c r="A10" s="1"/>
      <c r="B10" s="25" t="s">
        <v>19</v>
      </c>
      <c r="C10" s="7">
        <f>SUM(C9:C9)*'Fane 15. Nøgletal'!C15</f>
        <v>3895228.3951076819</v>
      </c>
      <c r="D10" s="8" t="s">
        <v>3</v>
      </c>
      <c r="E10" s="1"/>
    </row>
    <row r="11" spans="1:5" ht="15" customHeight="1" x14ac:dyDescent="0.25">
      <c r="A11" s="1"/>
      <c r="B11" s="25" t="s">
        <v>10</v>
      </c>
      <c r="C11" s="9">
        <f>-SUM(C9:C10)*'Fane 5. Individuelt eff. krav'!G9</f>
        <v>-2266235.1269514132</v>
      </c>
      <c r="D11" s="8" t="s">
        <v>3</v>
      </c>
      <c r="E11" s="1"/>
    </row>
    <row r="12" spans="1:5" ht="15" customHeight="1" x14ac:dyDescent="0.25">
      <c r="A12" s="1"/>
      <c r="B12" s="25" t="s">
        <v>24</v>
      </c>
      <c r="C12" s="9">
        <f>-'Fane 4.1. Gen. krav - drift'!G58</f>
        <v>-810906.16994440649</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110234615.05067484</v>
      </c>
      <c r="D14" s="11" t="s">
        <v>3</v>
      </c>
      <c r="E14" s="1"/>
    </row>
    <row r="15" spans="1:5" x14ac:dyDescent="0.25">
      <c r="A15" s="1"/>
      <c r="B15" s="32" t="s">
        <v>12</v>
      </c>
      <c r="C15" s="27"/>
      <c r="D15" s="19"/>
      <c r="E15" s="1"/>
    </row>
    <row r="16" spans="1:5" ht="15" customHeight="1" x14ac:dyDescent="0.25">
      <c r="A16" s="1"/>
      <c r="B16" s="30" t="s">
        <v>12</v>
      </c>
      <c r="C16" s="10">
        <f>'Fane 6. Ikke-påvirkelige omk.'!C17*(1+'Fane 15. Nøgletal'!C15)^2+'Fane 6. Ikke-påvirkelige omk.'!C23+'Fane 6. Ikke-påvirkelige omk.'!C31</f>
        <v>6294004.6438902365</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116528619.69456507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RQ7tCLuNGRQsi/jNg4LofvueNEj+f2eYz/oc81GMa2SyUL3fumrryyhHXrAnycbzhGcI7yQNO44tbTHR8YdoaQ==" saltValue="8N7vcqZnUD1KczZNVMLnS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188</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110234615.05067484</v>
      </c>
      <c r="D9" s="8" t="s">
        <v>3</v>
      </c>
      <c r="E9" s="1"/>
    </row>
    <row r="10" spans="1:5" ht="15" customHeight="1" x14ac:dyDescent="0.25">
      <c r="A10" s="1"/>
      <c r="B10" s="25" t="s">
        <v>19</v>
      </c>
      <c r="C10" s="7">
        <f>SUM(C9:C9)*'Fane 15. Nøgletal'!C15</f>
        <v>3924352.2958040242</v>
      </c>
      <c r="D10" s="8" t="s">
        <v>3</v>
      </c>
      <c r="E10" s="1"/>
    </row>
    <row r="11" spans="1:5" ht="15" customHeight="1" x14ac:dyDescent="0.25">
      <c r="A11" s="1"/>
      <c r="B11" s="25" t="s">
        <v>10</v>
      </c>
      <c r="C11" s="9">
        <f>-SUM(C9:C10)*'Fane 5. Individuelt eff. krav'!G9</f>
        <v>-2283179.3469295772</v>
      </c>
      <c r="D11" s="8" t="s">
        <v>3</v>
      </c>
      <c r="E11" s="1"/>
    </row>
    <row r="12" spans="1:5" ht="15" customHeight="1" x14ac:dyDescent="0.25">
      <c r="A12" s="1"/>
      <c r="B12" s="25" t="s">
        <v>24</v>
      </c>
      <c r="C12" s="9">
        <f>-'Fane 4.1. Gen. krav - drift'!G63</f>
        <v>-822978.94100253878</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111052809.05854675</v>
      </c>
      <c r="D14" s="11" t="s">
        <v>3</v>
      </c>
      <c r="E14" s="1"/>
    </row>
    <row r="15" spans="1:5" x14ac:dyDescent="0.25">
      <c r="A15" s="1"/>
      <c r="B15" s="32" t="s">
        <v>12</v>
      </c>
      <c r="C15" s="27"/>
      <c r="D15" s="19"/>
      <c r="E15" s="1"/>
    </row>
    <row r="16" spans="1:5" ht="15" customHeight="1" x14ac:dyDescent="0.25">
      <c r="A16" s="1"/>
      <c r="B16" s="30" t="s">
        <v>12</v>
      </c>
      <c r="C16" s="10">
        <f>'Fane 6. Ikke-påvirkelige omk.'!C17*(1+'Fane 15. Nøgletal'!C15)^3+'Fane 6. Ikke-påvirkelige omk.'!C24+'Fane 6. Ikke-påvirkelige omk.'!C32</f>
        <v>6458305.8224127293</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117511114.88095948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9w53oT0pwARahEv4eZTWO9RrwiTyhONAnBpIvIQWigwdoKFA46AiqdIPWeY+7uMztgP+x8xirb/7CF8FMtbfrQ==" saltValue="Ldur7GqnTVojxq5nv0kRl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191</v>
      </c>
      <c r="C3" s="139"/>
      <c r="D3" s="139"/>
      <c r="E3" s="139"/>
      <c r="F3" s="139"/>
      <c r="G3" s="1"/>
    </row>
    <row r="4" spans="1:7" ht="29.2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295</v>
      </c>
      <c r="C8" s="27"/>
      <c r="D8" s="27"/>
      <c r="E8" s="27"/>
      <c r="F8" s="19"/>
      <c r="G8" s="1"/>
    </row>
    <row r="9" spans="1:7" ht="15" customHeight="1" x14ac:dyDescent="0.25">
      <c r="A9" s="1"/>
      <c r="B9" s="134" t="s">
        <v>192</v>
      </c>
      <c r="C9" s="135"/>
      <c r="D9" s="136"/>
      <c r="E9" s="7">
        <v>111911971.59978953</v>
      </c>
      <c r="F9" s="8" t="s">
        <v>3</v>
      </c>
      <c r="G9" s="1"/>
    </row>
    <row r="10" spans="1:7" ht="15" customHeight="1" x14ac:dyDescent="0.25">
      <c r="A10" s="1"/>
      <c r="B10" s="125" t="s">
        <v>39</v>
      </c>
      <c r="C10" s="126"/>
      <c r="D10" s="127"/>
      <c r="E10" s="7">
        <v>209254.26780000003</v>
      </c>
      <c r="F10" s="8" t="s">
        <v>3</v>
      </c>
      <c r="G10" s="1"/>
    </row>
    <row r="11" spans="1:7" ht="15" customHeight="1" x14ac:dyDescent="0.25">
      <c r="A11" s="1"/>
      <c r="B11" s="125" t="s">
        <v>40</v>
      </c>
      <c r="C11" s="126"/>
      <c r="D11" s="127"/>
      <c r="E11" s="9">
        <v>1548036.7185000002</v>
      </c>
      <c r="F11" s="8" t="s">
        <v>3</v>
      </c>
      <c r="G11" s="1"/>
    </row>
    <row r="12" spans="1:7" ht="15" customHeight="1" x14ac:dyDescent="0.25">
      <c r="A12" s="1"/>
      <c r="B12" s="125" t="s">
        <v>27</v>
      </c>
      <c r="C12" s="126"/>
      <c r="D12" s="127"/>
      <c r="E12" s="9">
        <v>0</v>
      </c>
      <c r="F12" s="8" t="s">
        <v>3</v>
      </c>
      <c r="G12" s="1"/>
    </row>
    <row r="13" spans="1:7" ht="15" customHeight="1" x14ac:dyDescent="0.25">
      <c r="A13" s="1"/>
      <c r="B13" s="134" t="s">
        <v>26</v>
      </c>
      <c r="C13" s="135"/>
      <c r="D13" s="136"/>
      <c r="E13" s="9">
        <v>0</v>
      </c>
      <c r="F13" s="8" t="s">
        <v>3</v>
      </c>
      <c r="G13" s="1"/>
    </row>
    <row r="14" spans="1:7" ht="15" customHeight="1" x14ac:dyDescent="0.25">
      <c r="A14" s="1"/>
      <c r="B14" s="134" t="s">
        <v>29</v>
      </c>
      <c r="C14" s="135"/>
      <c r="D14" s="136"/>
      <c r="E14" s="9">
        <v>0</v>
      </c>
      <c r="F14" s="8" t="s">
        <v>3</v>
      </c>
      <c r="G14" s="1"/>
    </row>
    <row r="15" spans="1:7" ht="15" customHeight="1" x14ac:dyDescent="0.25">
      <c r="A15" s="1"/>
      <c r="B15" s="134" t="s">
        <v>28</v>
      </c>
      <c r="C15" s="135"/>
      <c r="D15" s="136"/>
      <c r="E15" s="9">
        <v>0</v>
      </c>
      <c r="F15" s="8" t="s">
        <v>3</v>
      </c>
      <c r="G15" s="1"/>
    </row>
    <row r="16" spans="1:7" ht="15" customHeight="1" x14ac:dyDescent="0.25">
      <c r="A16" s="1"/>
      <c r="B16" s="134" t="s">
        <v>19</v>
      </c>
      <c r="C16" s="135"/>
      <c r="D16" s="136"/>
      <c r="E16" s="9">
        <f>SUM(E9:E15)*'Fane 15. Nøgletal'!C14</f>
        <v>375108.56653409544</v>
      </c>
      <c r="F16" s="8" t="s">
        <v>3</v>
      </c>
      <c r="G16" s="1"/>
    </row>
    <row r="17" spans="1:7" ht="15" customHeight="1" x14ac:dyDescent="0.25">
      <c r="A17" s="1"/>
      <c r="B17" s="134" t="s">
        <v>10</v>
      </c>
      <c r="C17" s="135"/>
      <c r="D17" s="136"/>
      <c r="E17" s="9">
        <v>-2280887.423052473</v>
      </c>
      <c r="F17" s="8" t="s">
        <v>3</v>
      </c>
      <c r="G17" s="1"/>
    </row>
    <row r="18" spans="1:7" ht="15" customHeight="1" x14ac:dyDescent="0.25">
      <c r="A18" s="1"/>
      <c r="B18" s="134" t="s">
        <v>24</v>
      </c>
      <c r="C18" s="135"/>
      <c r="D18" s="136"/>
      <c r="E18" s="9">
        <f>-'Fane 4.1. Gen. krav - drift'!G39</f>
        <v>-774477.89812179818</v>
      </c>
      <c r="F18" s="8" t="s">
        <v>3</v>
      </c>
      <c r="G18" s="1"/>
    </row>
    <row r="19" spans="1:7" ht="15" customHeight="1" x14ac:dyDescent="0.25">
      <c r="A19" s="1"/>
      <c r="B19" s="134" t="s">
        <v>25</v>
      </c>
      <c r="C19" s="135"/>
      <c r="D19" s="136"/>
      <c r="E19" s="9">
        <f>-'Fane 4.2. Gen. krav - anlæg'!G37</f>
        <v>-1164882.054655564</v>
      </c>
      <c r="F19" s="8" t="s">
        <v>3</v>
      </c>
      <c r="G19" s="1"/>
    </row>
    <row r="20" spans="1:7" ht="15" customHeight="1" x14ac:dyDescent="0.25">
      <c r="A20" s="1"/>
      <c r="B20" s="54" t="s">
        <v>21</v>
      </c>
      <c r="C20" s="99"/>
      <c r="D20" s="101"/>
      <c r="E20" s="51">
        <f>SUM(E9:E19)</f>
        <v>109824123.77679379</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5960487.850322851</v>
      </c>
      <c r="F22" s="11" t="s">
        <v>3</v>
      </c>
      <c r="G22" s="1"/>
    </row>
    <row r="23" spans="1:7" ht="15" customHeight="1" x14ac:dyDescent="0.25">
      <c r="A23" s="1"/>
      <c r="B23" s="131" t="s">
        <v>86</v>
      </c>
      <c r="C23" s="132"/>
      <c r="D23" s="133"/>
      <c r="E23" s="27"/>
      <c r="F23" s="19"/>
      <c r="G23" s="1"/>
    </row>
    <row r="24" spans="1:7" ht="15" customHeight="1" x14ac:dyDescent="0.25">
      <c r="A24" s="1"/>
      <c r="B24" s="9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7" t="s">
        <v>87</v>
      </c>
      <c r="C28" s="138"/>
      <c r="D28" s="138"/>
      <c r="E28" s="39">
        <v>0</v>
      </c>
      <c r="F28" s="11" t="s">
        <v>3</v>
      </c>
      <c r="G28" s="1"/>
    </row>
    <row r="29" spans="1:7" ht="15" customHeight="1" x14ac:dyDescent="0.25">
      <c r="A29" s="1"/>
      <c r="B29" s="32" t="s">
        <v>143</v>
      </c>
      <c r="C29" s="32"/>
      <c r="D29" s="32"/>
      <c r="E29" s="27"/>
      <c r="F29" s="19"/>
      <c r="G29" s="1"/>
    </row>
    <row r="30" spans="1:7" ht="15" customHeight="1" x14ac:dyDescent="0.25">
      <c r="A30" s="1"/>
      <c r="B30" s="128" t="s">
        <v>142</v>
      </c>
      <c r="C30" s="129"/>
      <c r="D30" s="129"/>
      <c r="E30" s="39">
        <v>0</v>
      </c>
      <c r="F30" s="11" t="s">
        <v>3</v>
      </c>
      <c r="G30" s="1"/>
    </row>
    <row r="31" spans="1:7" x14ac:dyDescent="0.25">
      <c r="A31" s="1"/>
      <c r="B31" s="32" t="s">
        <v>123</v>
      </c>
      <c r="C31" s="27"/>
      <c r="D31" s="27"/>
      <c r="E31" s="27"/>
      <c r="F31" s="19"/>
      <c r="G31" s="1"/>
    </row>
    <row r="32" spans="1:7" ht="15.4" customHeight="1" x14ac:dyDescent="0.25">
      <c r="A32" s="1"/>
      <c r="B32" s="128" t="s">
        <v>123</v>
      </c>
      <c r="C32" s="129"/>
      <c r="D32" s="130"/>
      <c r="E32" s="10">
        <v>-1527361</v>
      </c>
      <c r="F32" s="11" t="s">
        <v>3</v>
      </c>
      <c r="G32" s="1"/>
    </row>
    <row r="33" spans="1:7" ht="15.4" customHeight="1" x14ac:dyDescent="0.25">
      <c r="A33" s="1"/>
      <c r="B33" s="131" t="s">
        <v>175</v>
      </c>
      <c r="C33" s="132"/>
      <c r="D33" s="132"/>
      <c r="E33" s="132"/>
      <c r="F33" s="133"/>
      <c r="G33" s="1"/>
    </row>
    <row r="34" spans="1:7" ht="15.4" customHeight="1" x14ac:dyDescent="0.25">
      <c r="A34" s="1"/>
      <c r="B34" s="100" t="s">
        <v>176</v>
      </c>
      <c r="C34" s="10"/>
      <c r="D34" s="11"/>
      <c r="E34" s="10">
        <f>'Fane 8. Skattesagen'!G11</f>
        <v>0</v>
      </c>
      <c r="F34" s="11" t="s">
        <v>3</v>
      </c>
      <c r="G34" s="1"/>
    </row>
    <row r="35" spans="1:7" x14ac:dyDescent="0.25">
      <c r="A35" s="1"/>
      <c r="B35" s="55" t="s">
        <v>218</v>
      </c>
      <c r="C35" s="56"/>
      <c r="D35" s="19"/>
      <c r="E35" s="45">
        <f>SUM(E32,E30,E28,E24,E22,E20,E34)</f>
        <v>114257250.62711665</v>
      </c>
      <c r="F35" s="52" t="s">
        <v>3</v>
      </c>
      <c r="G35" s="1"/>
    </row>
    <row r="36" spans="1:7" ht="27" customHeight="1" x14ac:dyDescent="0.25">
      <c r="A36" s="1"/>
      <c r="B36" s="134" t="s">
        <v>222</v>
      </c>
      <c r="C36" s="135"/>
      <c r="D36" s="135"/>
      <c r="E36" s="135"/>
      <c r="F36" s="1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iokDC01rpEucBxvggH28fxUTnnJXo4M/eOCfxwCzVfT3p+a+c6Qj/l8U4FpEJYPc9uxGaGiaUBew0DniwvQeHA==" saltValue="+hDj5JpapvenBHzKndwicg=="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85546875" style="2" customWidth="1"/>
    <col min="2" max="5" width="9.140625" style="2"/>
    <col min="6" max="6" width="20.42578125" style="2" customWidth="1"/>
    <col min="7" max="7" width="18.85546875" style="2" customWidth="1"/>
    <col min="8" max="8" width="3.42578125" style="2" customWidth="1"/>
    <col min="9" max="9" width="2.855468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9" t="s">
        <v>109</v>
      </c>
      <c r="C2" s="139"/>
      <c r="D2" s="139"/>
      <c r="E2" s="139"/>
      <c r="F2" s="139"/>
      <c r="G2" s="139"/>
      <c r="H2" s="139"/>
      <c r="I2" s="1"/>
    </row>
    <row r="3" spans="1:9" ht="28.5" customHeight="1" x14ac:dyDescent="0.25">
      <c r="A3" s="1"/>
      <c r="B3" s="139"/>
      <c r="C3" s="139"/>
      <c r="D3" s="139"/>
      <c r="E3" s="139"/>
      <c r="F3" s="139"/>
      <c r="G3" s="139"/>
      <c r="H3" s="139"/>
      <c r="I3" s="1"/>
    </row>
    <row r="4" spans="1:9" x14ac:dyDescent="0.25">
      <c r="A4" s="1"/>
      <c r="B4" s="131" t="s">
        <v>52</v>
      </c>
      <c r="C4" s="132"/>
      <c r="D4" s="132"/>
      <c r="E4" s="132"/>
      <c r="F4" s="132"/>
      <c r="G4" s="132"/>
      <c r="H4" s="133"/>
      <c r="I4" s="1"/>
    </row>
    <row r="5" spans="1:9" x14ac:dyDescent="0.25">
      <c r="A5" s="1"/>
      <c r="B5" s="141" t="s">
        <v>41</v>
      </c>
      <c r="C5" s="142"/>
      <c r="D5" s="142"/>
      <c r="E5" s="142"/>
      <c r="F5" s="143"/>
      <c r="G5" s="76">
        <v>37929744.954657242</v>
      </c>
      <c r="H5" s="14" t="s">
        <v>3</v>
      </c>
      <c r="I5" s="1"/>
    </row>
    <row r="6" spans="1:9" x14ac:dyDescent="0.25">
      <c r="A6" s="1"/>
      <c r="B6" s="134" t="s">
        <v>120</v>
      </c>
      <c r="C6" s="135"/>
      <c r="D6" s="135"/>
      <c r="E6" s="135"/>
      <c r="F6" s="136"/>
      <c r="G6" s="77">
        <v>0</v>
      </c>
      <c r="H6" s="14" t="s">
        <v>3</v>
      </c>
      <c r="I6" s="1"/>
    </row>
    <row r="7" spans="1:9" x14ac:dyDescent="0.25">
      <c r="A7" s="1"/>
      <c r="B7" s="141" t="s">
        <v>42</v>
      </c>
      <c r="C7" s="142"/>
      <c r="D7" s="142"/>
      <c r="E7" s="142"/>
      <c r="F7" s="143"/>
      <c r="G7" s="76">
        <f>SUM(G5:G6)*'Fane 15. Nøgletal'!C31</f>
        <v>758594.89909314481</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40"/>
      <c r="H10" s="133"/>
      <c r="I10" s="1"/>
    </row>
    <row r="11" spans="1:9" x14ac:dyDescent="0.25">
      <c r="A11" s="1"/>
      <c r="B11" s="141" t="s">
        <v>43</v>
      </c>
      <c r="C11" s="142"/>
      <c r="D11" s="142"/>
      <c r="E11" s="142"/>
      <c r="F11" s="143"/>
      <c r="G11" s="76">
        <f>(G5-G7)*(1+'Fane 15. Nøgletal'!C10)</f>
        <v>37821645.181536473</v>
      </c>
      <c r="H11" s="14" t="s">
        <v>3</v>
      </c>
      <c r="I11" s="1"/>
    </row>
    <row r="12" spans="1:9" ht="15" customHeight="1" x14ac:dyDescent="0.25">
      <c r="A12" s="1"/>
      <c r="B12" s="141" t="s">
        <v>121</v>
      </c>
      <c r="C12" s="142"/>
      <c r="D12" s="142"/>
      <c r="E12" s="142"/>
      <c r="F12" s="143"/>
      <c r="G12" s="77">
        <v>-69016.65188274892</v>
      </c>
      <c r="H12" s="14" t="s">
        <v>3</v>
      </c>
      <c r="I12" s="1"/>
    </row>
    <row r="13" spans="1:9" x14ac:dyDescent="0.25">
      <c r="A13" s="1"/>
      <c r="B13" s="134" t="s">
        <v>118</v>
      </c>
      <c r="C13" s="135"/>
      <c r="D13" s="135"/>
      <c r="E13" s="135"/>
      <c r="F13" s="136"/>
      <c r="G13" s="77">
        <v>0</v>
      </c>
      <c r="H13" s="14" t="s">
        <v>3</v>
      </c>
      <c r="I13" s="1"/>
    </row>
    <row r="14" spans="1:9" x14ac:dyDescent="0.25">
      <c r="A14" s="1"/>
      <c r="B14" s="144" t="s">
        <v>44</v>
      </c>
      <c r="C14" s="145"/>
      <c r="D14" s="145"/>
      <c r="E14" s="145"/>
      <c r="F14" s="146"/>
      <c r="G14" s="77">
        <v>0</v>
      </c>
      <c r="H14" s="14" t="s">
        <v>3</v>
      </c>
      <c r="I14" s="1"/>
    </row>
    <row r="15" spans="1:9" x14ac:dyDescent="0.25">
      <c r="A15" s="1"/>
      <c r="B15" s="141" t="s">
        <v>45</v>
      </c>
      <c r="C15" s="142"/>
      <c r="D15" s="142"/>
      <c r="E15" s="142"/>
      <c r="F15" s="143"/>
      <c r="G15" s="76">
        <f>SUM(G11:G14)*'Fane 15. Nøgletal'!C31</f>
        <v>755052.57059307455</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40"/>
      <c r="H18" s="133"/>
      <c r="I18" s="1"/>
    </row>
    <row r="19" spans="1:9" x14ac:dyDescent="0.25">
      <c r="A19" s="1"/>
      <c r="B19" s="141" t="s">
        <v>46</v>
      </c>
      <c r="C19" s="142"/>
      <c r="D19" s="142"/>
      <c r="E19" s="142"/>
      <c r="F19" s="143"/>
      <c r="G19" s="76">
        <f>(SUM(G11:G12,G14)-(G15))*(1+'Fane 15. Nøgletal'!C10)</f>
        <v>37645033.538344219</v>
      </c>
      <c r="H19" s="14" t="s">
        <v>3</v>
      </c>
      <c r="I19" s="1"/>
    </row>
    <row r="20" spans="1:9" x14ac:dyDescent="0.25">
      <c r="A20" s="1"/>
      <c r="B20" s="144" t="s">
        <v>47</v>
      </c>
      <c r="C20" s="145"/>
      <c r="D20" s="145"/>
      <c r="E20" s="145"/>
      <c r="F20" s="146"/>
      <c r="G20" s="77">
        <v>0</v>
      </c>
      <c r="H20" s="14" t="s">
        <v>3</v>
      </c>
      <c r="I20" s="1"/>
    </row>
    <row r="21" spans="1:9" x14ac:dyDescent="0.25">
      <c r="A21" s="1"/>
      <c r="B21" s="141" t="s">
        <v>48</v>
      </c>
      <c r="C21" s="142"/>
      <c r="D21" s="142"/>
      <c r="E21" s="142"/>
      <c r="F21" s="143"/>
      <c r="G21" s="76">
        <f>SUM(G19:G20)*'Fane 15. Nøgletal'!C31</f>
        <v>752900.67076688434</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40"/>
      <c r="H24" s="133"/>
      <c r="I24" s="1"/>
    </row>
    <row r="25" spans="1:9" x14ac:dyDescent="0.25">
      <c r="A25" s="1"/>
      <c r="B25" s="141" t="s">
        <v>49</v>
      </c>
      <c r="C25" s="142"/>
      <c r="D25" s="142"/>
      <c r="E25" s="142"/>
      <c r="F25" s="143"/>
      <c r="G25" s="76">
        <f>(G19+G20-G21)*(1+'Fane 15. Nøgletal'!C12)</f>
        <v>37618907.88506861</v>
      </c>
      <c r="H25" s="14" t="s">
        <v>3</v>
      </c>
      <c r="I25" s="1"/>
    </row>
    <row r="26" spans="1:9" x14ac:dyDescent="0.25">
      <c r="A26" s="1"/>
      <c r="B26" s="144" t="s">
        <v>50</v>
      </c>
      <c r="C26" s="145"/>
      <c r="D26" s="145"/>
      <c r="E26" s="145"/>
      <c r="F26" s="146"/>
      <c r="G26" s="77">
        <v>838837.60393851006</v>
      </c>
      <c r="H26" s="14" t="s">
        <v>3</v>
      </c>
      <c r="I26" s="1"/>
    </row>
    <row r="27" spans="1:9" x14ac:dyDescent="0.25">
      <c r="A27" s="1"/>
      <c r="B27" s="141" t="s">
        <v>51</v>
      </c>
      <c r="C27" s="142"/>
      <c r="D27" s="142"/>
      <c r="E27" s="142"/>
      <c r="F27" s="143"/>
      <c r="G27" s="76">
        <f>(G25+G26)*'Fane 15. Nøgletal'!C31</f>
        <v>769154.90978014248</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40"/>
      <c r="H30" s="133"/>
      <c r="I30" s="1"/>
    </row>
    <row r="31" spans="1:9" x14ac:dyDescent="0.25">
      <c r="A31" s="1"/>
      <c r="B31" s="141" t="s">
        <v>59</v>
      </c>
      <c r="C31" s="142"/>
      <c r="D31" s="142"/>
      <c r="E31" s="142"/>
      <c r="F31" s="143"/>
      <c r="G31" s="76">
        <f>(G25+G26-G27)*(1+'Fane 15. Nøgletal'!C12)</f>
        <v>38431055.813637748</v>
      </c>
      <c r="H31" s="14" t="s">
        <v>3</v>
      </c>
      <c r="I31" s="1"/>
    </row>
    <row r="32" spans="1:9" x14ac:dyDescent="0.25">
      <c r="A32" s="1"/>
      <c r="B32" s="141" t="s">
        <v>137</v>
      </c>
      <c r="C32" s="142"/>
      <c r="D32" s="142"/>
      <c r="E32" s="142"/>
      <c r="F32" s="143"/>
      <c r="G32" s="76">
        <v>739630.00398672</v>
      </c>
      <c r="H32" s="14" t="s">
        <v>3</v>
      </c>
      <c r="I32" s="1"/>
    </row>
    <row r="33" spans="1:9" x14ac:dyDescent="0.25">
      <c r="A33" s="1"/>
      <c r="B33" s="141" t="s">
        <v>60</v>
      </c>
      <c r="C33" s="142"/>
      <c r="D33" s="142"/>
      <c r="E33" s="142"/>
      <c r="F33" s="143"/>
      <c r="G33" s="76">
        <f>(G31+G32)*'Fane 15. Nøgletal'!C31</f>
        <v>783413.71635248931</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40"/>
      <c r="H36" s="133"/>
      <c r="I36" s="1"/>
    </row>
    <row r="37" spans="1:9" x14ac:dyDescent="0.25">
      <c r="A37" s="1"/>
      <c r="B37" s="141" t="s">
        <v>79</v>
      </c>
      <c r="C37" s="142"/>
      <c r="D37" s="142"/>
      <c r="E37" s="142"/>
      <c r="F37" s="143"/>
      <c r="G37" s="76">
        <f>(G31+G32-G33)*(1+'Fane 15. Nøgletal'!C14)</f>
        <v>38513950.099206172</v>
      </c>
      <c r="H37" s="14" t="s">
        <v>3</v>
      </c>
      <c r="I37" s="1"/>
    </row>
    <row r="38" spans="1:9" x14ac:dyDescent="0.25">
      <c r="A38" s="1"/>
      <c r="B38" s="141" t="s">
        <v>164</v>
      </c>
      <c r="C38" s="142"/>
      <c r="D38" s="142"/>
      <c r="E38" s="142"/>
      <c r="F38" s="143"/>
      <c r="G38" s="76">
        <v>209944.80688374004</v>
      </c>
      <c r="H38" s="14" t="s">
        <v>3</v>
      </c>
      <c r="I38" s="1"/>
    </row>
    <row r="39" spans="1:9" x14ac:dyDescent="0.25">
      <c r="A39" s="1"/>
      <c r="B39" s="141" t="s">
        <v>162</v>
      </c>
      <c r="C39" s="142"/>
      <c r="D39" s="142"/>
      <c r="E39" s="142"/>
      <c r="F39" s="143"/>
      <c r="G39" s="76">
        <f>(G37+G38)*'Fane 15. Nøgletal'!C31</f>
        <v>774477.89812179818</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40"/>
      <c r="H42" s="133"/>
      <c r="I42" s="1"/>
    </row>
    <row r="43" spans="1:9" x14ac:dyDescent="0.25">
      <c r="A43" s="1"/>
      <c r="B43" s="141" t="s">
        <v>228</v>
      </c>
      <c r="C43" s="142"/>
      <c r="D43" s="142"/>
      <c r="E43" s="142"/>
      <c r="F43" s="143"/>
      <c r="G43" s="76">
        <f>(G37+G38-G39)*(1+'Fane 15. Nøgletal'!C14)</f>
        <v>38074650.084094413</v>
      </c>
      <c r="H43" s="14" t="s">
        <v>3</v>
      </c>
      <c r="I43" s="1"/>
    </row>
    <row r="44" spans="1:9" x14ac:dyDescent="0.25">
      <c r="A44" s="1"/>
      <c r="B44" s="147" t="s">
        <v>230</v>
      </c>
      <c r="C44" s="148"/>
      <c r="D44" s="148"/>
      <c r="E44" s="148"/>
      <c r="F44" s="149"/>
      <c r="G44" s="80">
        <f>('Fane 2.1. Økonomisk ramme 2023'!C10+'Fane 2.1. Økonomisk ramme 2023'!C12+'Fane 2.1. Økonomisk ramme 2023'!C14)*(1+'Fane 15. Nøgletal'!C15)</f>
        <v>1289816.8125796802</v>
      </c>
      <c r="H44" s="14" t="s">
        <v>3</v>
      </c>
      <c r="I44" s="1"/>
    </row>
    <row r="45" spans="1:9" x14ac:dyDescent="0.25">
      <c r="A45" s="1"/>
      <c r="B45" s="141" t="s">
        <v>163</v>
      </c>
      <c r="C45" s="142"/>
      <c r="D45" s="142"/>
      <c r="E45" s="142"/>
      <c r="F45" s="143"/>
      <c r="G45" s="76">
        <f>SUM(G43:G44)*'Fane 15. Nøgletal'!C31</f>
        <v>787289.3379334819</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40"/>
      <c r="H51" s="133"/>
      <c r="I51" s="1"/>
    </row>
    <row r="52" spans="1:9" x14ac:dyDescent="0.25">
      <c r="A52" s="1"/>
      <c r="B52" s="141" t="s">
        <v>227</v>
      </c>
      <c r="C52" s="142"/>
      <c r="D52" s="142"/>
      <c r="E52" s="142"/>
      <c r="F52" s="143"/>
      <c r="G52" s="76">
        <f>(G43+G44-G45)*(1+'Fane 15. Nøgletal'!C15)</f>
        <v>39950525.079831786</v>
      </c>
      <c r="H52" s="14" t="s">
        <v>3</v>
      </c>
      <c r="I52" s="1"/>
    </row>
    <row r="53" spans="1:9" x14ac:dyDescent="0.25">
      <c r="A53" s="1"/>
      <c r="B53" s="141" t="s">
        <v>138</v>
      </c>
      <c r="C53" s="142"/>
      <c r="D53" s="142"/>
      <c r="E53" s="142"/>
      <c r="F53" s="143"/>
      <c r="G53" s="76">
        <f>(G52)*'Fane 15. Nøgletal'!C31</f>
        <v>799010.50159663579</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40"/>
      <c r="H56" s="133"/>
      <c r="I56" s="1"/>
    </row>
    <row r="57" spans="1:9" x14ac:dyDescent="0.25">
      <c r="A57" s="1"/>
      <c r="B57" s="91" t="s">
        <v>151</v>
      </c>
      <c r="C57" s="92"/>
      <c r="D57" s="92"/>
      <c r="E57" s="92"/>
      <c r="F57" s="93"/>
      <c r="G57" s="76">
        <f>(G52-G53)*(1+'Fane 15. Nøgletal'!C15)</f>
        <v>40545308.497220322</v>
      </c>
      <c r="H57" s="14" t="s">
        <v>3</v>
      </c>
      <c r="I57" s="1"/>
    </row>
    <row r="58" spans="1:9" x14ac:dyDescent="0.25">
      <c r="A58" s="1"/>
      <c r="B58" s="91" t="s">
        <v>152</v>
      </c>
      <c r="C58" s="92"/>
      <c r="D58" s="92"/>
      <c r="E58" s="92"/>
      <c r="F58" s="93"/>
      <c r="G58" s="76">
        <f>(G57)*'Fane 15. Nøgletal'!C31</f>
        <v>810906.16994440649</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40"/>
      <c r="H61" s="133"/>
      <c r="I61" s="1"/>
    </row>
    <row r="62" spans="1:9" x14ac:dyDescent="0.25">
      <c r="A62" s="1"/>
      <c r="B62" s="91" t="s">
        <v>194</v>
      </c>
      <c r="C62" s="92"/>
      <c r="D62" s="92"/>
      <c r="E62" s="92"/>
      <c r="F62" s="93"/>
      <c r="G62" s="76">
        <f>(G57-G58)*(1+'Fane 15. Nøgletal'!C15)</f>
        <v>41148947.05012694</v>
      </c>
      <c r="H62" s="14" t="s">
        <v>3</v>
      </c>
      <c r="I62" s="1"/>
    </row>
    <row r="63" spans="1:9" x14ac:dyDescent="0.25">
      <c r="A63" s="1"/>
      <c r="B63" s="91" t="s">
        <v>195</v>
      </c>
      <c r="C63" s="92"/>
      <c r="D63" s="92"/>
      <c r="E63" s="92"/>
      <c r="F63" s="93"/>
      <c r="G63" s="76">
        <f>(G62)*'Fane 15. Nøgletal'!C31</f>
        <v>822978.94100253878</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gs6XPpdOtK+R12I0S2Y3WZMXk/+Wjj7iZq79WHNj26KVFWeSdz1qZlxsV211+FeGHoI6MBpVicF1hS3419wgGQ==" saltValue="LN6CUv8Z4Qyd8sMjpBEPpQ=="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42578125" style="2" customWidth="1"/>
    <col min="2" max="5" width="9.140625" style="2"/>
    <col min="6" max="6" width="23.28515625" style="2" customWidth="1"/>
    <col min="7" max="7" width="18.28515625" style="2" customWidth="1"/>
    <col min="8" max="8" width="3.28515625" style="2" customWidth="1"/>
    <col min="9" max="9" width="2.42578125" style="2" customWidth="1"/>
    <col min="10" max="16384" width="9.140625" style="2"/>
  </cols>
  <sheetData>
    <row r="1" spans="1:9" ht="14.25" customHeight="1" x14ac:dyDescent="0.25">
      <c r="A1" s="1"/>
      <c r="B1" s="150" t="s">
        <v>110</v>
      </c>
      <c r="C1" s="150"/>
      <c r="D1" s="150"/>
      <c r="E1" s="150"/>
      <c r="F1" s="150"/>
      <c r="G1" s="150"/>
      <c r="H1" s="150"/>
      <c r="I1" s="1"/>
    </row>
    <row r="2" spans="1:9" ht="15" customHeight="1" x14ac:dyDescent="0.25">
      <c r="A2" s="1"/>
      <c r="B2" s="150"/>
      <c r="C2" s="150"/>
      <c r="D2" s="150"/>
      <c r="E2" s="150"/>
      <c r="F2" s="150"/>
      <c r="G2" s="150"/>
      <c r="H2" s="150"/>
      <c r="I2" s="1"/>
    </row>
    <row r="3" spans="1:9" ht="15" customHeight="1" x14ac:dyDescent="0.25">
      <c r="A3" s="1"/>
      <c r="B3" s="151"/>
      <c r="C3" s="151"/>
      <c r="D3" s="151"/>
      <c r="E3" s="151"/>
      <c r="F3" s="151"/>
      <c r="G3" s="151"/>
      <c r="H3" s="151"/>
      <c r="I3" s="1"/>
    </row>
    <row r="4" spans="1:9" x14ac:dyDescent="0.25">
      <c r="A4" s="1"/>
      <c r="B4" s="131" t="s">
        <v>56</v>
      </c>
      <c r="C4" s="132"/>
      <c r="D4" s="132"/>
      <c r="E4" s="132"/>
      <c r="F4" s="132"/>
      <c r="G4" s="132"/>
      <c r="H4" s="133"/>
      <c r="I4" s="1"/>
    </row>
    <row r="5" spans="1:9" x14ac:dyDescent="0.25">
      <c r="A5" s="1"/>
      <c r="B5" s="141" t="s">
        <v>61</v>
      </c>
      <c r="C5" s="142"/>
      <c r="D5" s="142"/>
      <c r="E5" s="142"/>
      <c r="F5" s="143"/>
      <c r="G5" s="76">
        <v>54065227.474607795</v>
      </c>
      <c r="H5" s="14" t="s">
        <v>3</v>
      </c>
      <c r="I5" s="1"/>
    </row>
    <row r="6" spans="1:9" x14ac:dyDescent="0.25">
      <c r="A6" s="1"/>
      <c r="B6" s="141" t="s">
        <v>57</v>
      </c>
      <c r="C6" s="142"/>
      <c r="D6" s="142"/>
      <c r="E6" s="142"/>
      <c r="F6" s="143"/>
      <c r="G6" s="76">
        <f>G5*'Fane 15. Nøgletal'!C20</f>
        <v>491993.57001893094</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40"/>
      <c r="H9" s="133"/>
      <c r="I9" s="1"/>
    </row>
    <row r="10" spans="1:9" x14ac:dyDescent="0.25">
      <c r="A10" s="1"/>
      <c r="B10" s="141" t="s">
        <v>63</v>
      </c>
      <c r="C10" s="142"/>
      <c r="D10" s="142"/>
      <c r="E10" s="142"/>
      <c r="F10" s="143"/>
      <c r="G10" s="76">
        <f>(G5-G6)*(1+'Fane 15. Nøgletal'!C10)</f>
        <v>54510765.497919172</v>
      </c>
      <c r="H10" s="14" t="s">
        <v>3</v>
      </c>
      <c r="I10" s="1"/>
    </row>
    <row r="11" spans="1:9" x14ac:dyDescent="0.25">
      <c r="A11" s="1"/>
      <c r="B11" s="141" t="s">
        <v>122</v>
      </c>
      <c r="C11" s="142"/>
      <c r="D11" s="142"/>
      <c r="E11" s="142"/>
      <c r="F11" s="143"/>
      <c r="G11" s="76">
        <v>-2810114.2985806675</v>
      </c>
      <c r="H11" s="14" t="s">
        <v>3</v>
      </c>
      <c r="I11" s="1"/>
    </row>
    <row r="12" spans="1:9" x14ac:dyDescent="0.25">
      <c r="A12" s="1"/>
      <c r="B12" s="144" t="s">
        <v>64</v>
      </c>
      <c r="C12" s="145"/>
      <c r="D12" s="145"/>
      <c r="E12" s="145"/>
      <c r="F12" s="146"/>
      <c r="G12" s="77">
        <v>0</v>
      </c>
      <c r="H12" s="14" t="s">
        <v>3</v>
      </c>
      <c r="I12" s="1"/>
    </row>
    <row r="13" spans="1:9" x14ac:dyDescent="0.25">
      <c r="A13" s="1"/>
      <c r="B13" s="141" t="s">
        <v>65</v>
      </c>
      <c r="C13" s="142"/>
      <c r="D13" s="142"/>
      <c r="E13" s="142"/>
      <c r="F13" s="143"/>
      <c r="G13" s="76">
        <f>SUM(G10:G12)*'Fane 15. Nøgletal'!C21</f>
        <v>915101.52622829156</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40"/>
      <c r="H16" s="133"/>
      <c r="I16" s="1"/>
    </row>
    <row r="17" spans="1:9" x14ac:dyDescent="0.25">
      <c r="A17" s="1"/>
      <c r="B17" s="141" t="s">
        <v>67</v>
      </c>
      <c r="C17" s="142"/>
      <c r="D17" s="142"/>
      <c r="E17" s="142"/>
      <c r="F17" s="143"/>
      <c r="G17" s="76">
        <f>(SUM(G10:G12)-G13)*(1+'Fane 15. Nøgletal'!C10)</f>
        <v>51674296.792389639</v>
      </c>
      <c r="H17" s="14" t="s">
        <v>3</v>
      </c>
      <c r="I17" s="1"/>
    </row>
    <row r="18" spans="1:9" x14ac:dyDescent="0.25">
      <c r="A18" s="1"/>
      <c r="B18" s="144" t="s">
        <v>68</v>
      </c>
      <c r="C18" s="145"/>
      <c r="D18" s="145"/>
      <c r="E18" s="145"/>
      <c r="F18" s="146"/>
      <c r="G18" s="76">
        <v>178057.13301467997</v>
      </c>
      <c r="H18" s="14" t="s">
        <v>3</v>
      </c>
      <c r="I18" s="1"/>
    </row>
    <row r="19" spans="1:9" x14ac:dyDescent="0.25">
      <c r="A19" s="1"/>
      <c r="B19" s="141" t="s">
        <v>69</v>
      </c>
      <c r="C19" s="142"/>
      <c r="D19" s="142"/>
      <c r="E19" s="142"/>
      <c r="F19" s="143"/>
      <c r="G19" s="76">
        <f>G17*'Fane 15. Nøgletal'!C21+G18*'Fane 15. Nøgletal'!C22</f>
        <v>916184.15028252441</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40"/>
      <c r="H22" s="133"/>
      <c r="I22" s="1"/>
    </row>
    <row r="23" spans="1:9" x14ac:dyDescent="0.25">
      <c r="A23" s="1"/>
      <c r="B23" s="141" t="s">
        <v>71</v>
      </c>
      <c r="C23" s="142"/>
      <c r="D23" s="142"/>
      <c r="E23" s="142"/>
      <c r="F23" s="143"/>
      <c r="G23" s="76">
        <f>(G17+G18-G19)*(1+'Fane 15. Nøgletal'!C12)</f>
        <v>51939612.319691695</v>
      </c>
      <c r="H23" s="14" t="s">
        <v>3</v>
      </c>
      <c r="I23" s="1"/>
    </row>
    <row r="24" spans="1:9" x14ac:dyDescent="0.25">
      <c r="A24" s="1"/>
      <c r="B24" s="144" t="s">
        <v>72</v>
      </c>
      <c r="C24" s="145"/>
      <c r="D24" s="145"/>
      <c r="E24" s="145"/>
      <c r="F24" s="146"/>
      <c r="G24" s="76">
        <v>8814303.9624720421</v>
      </c>
      <c r="H24" s="14" t="s">
        <v>3</v>
      </c>
      <c r="I24" s="1"/>
    </row>
    <row r="25" spans="1:9" x14ac:dyDescent="0.25">
      <c r="A25" s="1"/>
      <c r="B25" s="141" t="s">
        <v>73</v>
      </c>
      <c r="C25" s="142"/>
      <c r="D25" s="142"/>
      <c r="E25" s="142"/>
      <c r="F25" s="143"/>
      <c r="G25" s="76">
        <f>(G23+G24)*'Fane 15. Nøgletal'!C23</f>
        <v>1725411.2224134502</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40"/>
      <c r="H28" s="133"/>
      <c r="I28" s="1"/>
    </row>
    <row r="29" spans="1:9" x14ac:dyDescent="0.25">
      <c r="A29" s="1"/>
      <c r="B29" s="141" t="s">
        <v>75</v>
      </c>
      <c r="C29" s="142"/>
      <c r="D29" s="142"/>
      <c r="E29" s="142"/>
      <c r="F29" s="143"/>
      <c r="G29" s="76">
        <f>(G23+G24-G25)*(1+'Fane 15. Nøgletal'!C12)</f>
        <v>60191366.60942737</v>
      </c>
      <c r="H29" s="14" t="s">
        <v>3</v>
      </c>
      <c r="I29" s="1"/>
    </row>
    <row r="30" spans="1:9" x14ac:dyDescent="0.25">
      <c r="A30" s="1"/>
      <c r="B30" s="141" t="s">
        <v>139</v>
      </c>
      <c r="C30" s="142"/>
      <c r="D30" s="142"/>
      <c r="E30" s="142"/>
      <c r="F30" s="143"/>
      <c r="G30" s="76">
        <v>18940252.461338878</v>
      </c>
      <c r="H30" s="14" t="s">
        <v>3</v>
      </c>
      <c r="I30" s="1"/>
    </row>
    <row r="31" spans="1:9" x14ac:dyDescent="0.25">
      <c r="A31" s="1"/>
      <c r="B31" s="141" t="s">
        <v>76</v>
      </c>
      <c r="C31" s="142"/>
      <c r="D31" s="142"/>
      <c r="E31" s="142"/>
      <c r="F31" s="143"/>
      <c r="G31" s="76">
        <f>G29*'Fane 15. Nøgletal'!C23+G30*'Fane 15. Nøgletal'!C24</f>
        <v>2230291.7543945564</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40"/>
      <c r="H34" s="133"/>
      <c r="I34" s="1"/>
    </row>
    <row r="35" spans="1:9" x14ac:dyDescent="0.25">
      <c r="A35" s="1"/>
      <c r="B35" s="141" t="s">
        <v>78</v>
      </c>
      <c r="C35" s="142"/>
      <c r="D35" s="142"/>
      <c r="E35" s="142"/>
      <c r="F35" s="143"/>
      <c r="G35" s="76">
        <f>(G29+G30-G31)*(1+'Fane 15. Nøgletal'!C14)</f>
        <v>77155101.696515709</v>
      </c>
      <c r="H35" s="14" t="s">
        <v>3</v>
      </c>
      <c r="I35" s="1"/>
    </row>
    <row r="36" spans="1:9" x14ac:dyDescent="0.25">
      <c r="A36" s="1"/>
      <c r="B36" s="141" t="s">
        <v>167</v>
      </c>
      <c r="C36" s="142"/>
      <c r="D36" s="142"/>
      <c r="E36" s="142"/>
      <c r="F36" s="143"/>
      <c r="G36" s="76">
        <v>1553145.2396710503</v>
      </c>
      <c r="H36" s="14" t="s">
        <v>3</v>
      </c>
      <c r="I36" s="1"/>
    </row>
    <row r="37" spans="1:9" x14ac:dyDescent="0.25">
      <c r="A37" s="1"/>
      <c r="B37" s="141" t="s">
        <v>166</v>
      </c>
      <c r="C37" s="142"/>
      <c r="D37" s="142"/>
      <c r="E37" s="142"/>
      <c r="F37" s="143"/>
      <c r="G37" s="76">
        <f>(G35+G36)*'Fane 15. Nøgletal'!C25</f>
        <v>1164882.054655564</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40"/>
      <c r="H40" s="133"/>
      <c r="I40" s="1"/>
    </row>
    <row r="41" spans="1:9" x14ac:dyDescent="0.25">
      <c r="A41" s="1"/>
      <c r="B41" s="141" t="s">
        <v>77</v>
      </c>
      <c r="C41" s="142"/>
      <c r="D41" s="142"/>
      <c r="E41" s="142"/>
      <c r="F41" s="143"/>
      <c r="G41" s="76">
        <f>(G35+G36-G37)*(1+'Fane 15. Nøgletal'!C14)</f>
        <v>77799257.985640258</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1316944.9617497232</v>
      </c>
      <c r="H42" s="14" t="s">
        <v>3</v>
      </c>
      <c r="I42" s="1"/>
    </row>
    <row r="43" spans="1:9" x14ac:dyDescent="0.25">
      <c r="A43" s="1"/>
      <c r="B43" s="141" t="s">
        <v>168</v>
      </c>
      <c r="C43" s="142"/>
      <c r="D43" s="142"/>
      <c r="E43" s="142"/>
      <c r="F43" s="143"/>
      <c r="G43" s="76">
        <f>(G41)*'Fane 15. Nøgletal'!C25+G42*'Fane 15. Nøgletal'!C26</f>
        <v>1151429.0181874759</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40"/>
      <c r="H52" s="133"/>
      <c r="I52" s="1"/>
    </row>
    <row r="53" spans="1:9" x14ac:dyDescent="0.25">
      <c r="A53" s="1"/>
      <c r="B53" s="141" t="s">
        <v>140</v>
      </c>
      <c r="C53" s="142"/>
      <c r="D53" s="142"/>
      <c r="E53" s="142"/>
      <c r="F53" s="143"/>
      <c r="G53" s="76">
        <f>(G41+G42-G43)*(1+'Fane 15. Nøgletal'!C15)</f>
        <v>80740319.881082118</v>
      </c>
      <c r="H53" s="14" t="s">
        <v>3</v>
      </c>
      <c r="I53" s="1"/>
    </row>
    <row r="54" spans="1:9" x14ac:dyDescent="0.25">
      <c r="A54" s="1"/>
      <c r="B54" s="141" t="s">
        <v>141</v>
      </c>
      <c r="C54" s="142"/>
      <c r="D54" s="142"/>
      <c r="E54" s="142"/>
      <c r="F54" s="143"/>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40"/>
      <c r="H57" s="133"/>
      <c r="I57" s="1"/>
    </row>
    <row r="58" spans="1:9" x14ac:dyDescent="0.25">
      <c r="A58" s="1"/>
      <c r="B58" s="141" t="s">
        <v>173</v>
      </c>
      <c r="C58" s="142"/>
      <c r="D58" s="142"/>
      <c r="E58" s="142"/>
      <c r="F58" s="143"/>
      <c r="G58" s="76">
        <f>(G53-G54)*(1+'Fane 15. Nøgletal'!C15)</f>
        <v>83614675.268848643</v>
      </c>
      <c r="H58" s="14" t="s">
        <v>3</v>
      </c>
      <c r="I58" s="1"/>
    </row>
    <row r="59" spans="1:9" x14ac:dyDescent="0.25">
      <c r="A59" s="1"/>
      <c r="B59" s="141" t="s">
        <v>174</v>
      </c>
      <c r="C59" s="142"/>
      <c r="D59" s="142"/>
      <c r="E59" s="142"/>
      <c r="F59" s="143"/>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40"/>
      <c r="H62" s="133"/>
      <c r="I62" s="1"/>
    </row>
    <row r="63" spans="1:9" x14ac:dyDescent="0.25">
      <c r="A63" s="1"/>
      <c r="B63" s="141" t="s">
        <v>197</v>
      </c>
      <c r="C63" s="142"/>
      <c r="D63" s="142"/>
      <c r="E63" s="142"/>
      <c r="F63" s="143"/>
      <c r="G63" s="76">
        <f>(G58-G59)*(1+'Fane 15. Nøgletal'!C15)</f>
        <v>86591357.708419666</v>
      </c>
      <c r="H63" s="14" t="s">
        <v>3</v>
      </c>
      <c r="I63" s="1"/>
    </row>
    <row r="64" spans="1:9" x14ac:dyDescent="0.25">
      <c r="A64" s="1"/>
      <c r="B64" s="141" t="s">
        <v>198</v>
      </c>
      <c r="C64" s="142"/>
      <c r="D64" s="142"/>
      <c r="E64" s="142"/>
      <c r="F64" s="143"/>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8fH/T/f5tA7gHxnwoLtOuXWXEZSEMhFcH4NtRLxhYlHeBtYE90ZunrobffX95Cx4OrhMxe62UZo0Sm52dwzlMQ==" saltValue="MBVNeODPtu3j1YJBIC/JWQ=="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3" t="s">
        <v>88</v>
      </c>
      <c r="C3" s="123"/>
      <c r="D3" s="123"/>
      <c r="E3" s="123"/>
      <c r="F3" s="123"/>
      <c r="G3" s="123"/>
      <c r="H3" s="1"/>
    </row>
    <row r="4" spans="1:8" ht="15" customHeight="1" x14ac:dyDescent="0.25">
      <c r="A4" s="1"/>
      <c r="B4" s="123"/>
      <c r="C4" s="123"/>
      <c r="D4" s="123"/>
      <c r="E4" s="123"/>
      <c r="F4" s="123"/>
      <c r="G4" s="12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41" t="s">
        <v>154</v>
      </c>
      <c r="C9" s="142"/>
      <c r="D9" s="142"/>
      <c r="E9" s="142"/>
      <c r="F9" s="143"/>
      <c r="G9" s="35">
        <v>0.02</v>
      </c>
      <c r="H9" s="1"/>
    </row>
    <row r="10" spans="1:8" x14ac:dyDescent="0.25">
      <c r="A10" s="1"/>
      <c r="B10" s="32"/>
      <c r="C10" s="27"/>
      <c r="D10" s="27"/>
      <c r="E10" s="27"/>
      <c r="F10" s="27"/>
      <c r="G10" s="19"/>
      <c r="H10" s="1"/>
    </row>
    <row r="11" spans="1:8" ht="29.25" customHeight="1" x14ac:dyDescent="0.25">
      <c r="A11" s="1"/>
      <c r="B11" s="152" t="s">
        <v>236</v>
      </c>
      <c r="C11" s="153"/>
      <c r="D11" s="153"/>
      <c r="E11" s="153"/>
      <c r="F11" s="153"/>
      <c r="G11" s="15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zICIIr04hrkzje/kGoVknWqilZPhcQmkmEhNtoAUuIdrzPlhYk+AodIYn2REIpVHmwmQWjRelEQRuQhpCQxeAQ==" saltValue="Os5MygKf98T+1AOZuZ1YK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2022-12-01T08:19:20Z</dcterms:modified>
</cp:coreProperties>
</file>