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4"/>
  <workbookPr codeName="Denne_projektmappe" defaultThemeVersion="124226"/>
  <mc:AlternateContent xmlns:mc="http://schemas.openxmlformats.org/markup-compatibility/2006">
    <mc:Choice Requires="x15">
      <x15ac:absPath xmlns:x15ac="http://schemas.microsoft.com/office/spreadsheetml/2010/11/ac" url="E:\VAND\Sagsbehandling\Drikkevand\Odder Vandværk a.m.b.a. (V144)\ØR2025\"/>
    </mc:Choice>
  </mc:AlternateContent>
  <xr:revisionPtr revIDLastSave="0" documentId="13_ncr:1_{0334550A-5658-4E4F-B38A-0B3920BF3475}" xr6:coauthVersionLast="36" xr6:coauthVersionMax="36" xr10:uidLastSave="{00000000-0000-0000-0000-000000000000}"/>
  <bookViews>
    <workbookView xWindow="3105" yWindow="990" windowWidth="12735" windowHeight="4620" tabRatio="872" xr2:uid="{00000000-000D-0000-FFFF-FFFF00000000}"/>
  </bookViews>
  <sheets>
    <sheet name="1. Forside" sheetId="1" r:id="rId1"/>
    <sheet name="Fane 2.1. Økonomisk ramme 2025" sheetId="2" r:id="rId2"/>
    <sheet name="Fane 2.2. Økonomisk ramme 2026" sheetId="15" r:id="rId3"/>
    <sheet name="Fane 2.3. Økonomisk ramme 2027" sheetId="43" r:id="rId4"/>
    <sheet name="Fane 2.4. Økonomisk ramme 2028" sheetId="23" r:id="rId5"/>
    <sheet name="Fane 3. Omkostninger i ØR2024" sheetId="27" r:id="rId6"/>
    <sheet name="Fane 4.1. Gen. krav - drift" sheetId="30" r:id="rId7"/>
    <sheet name="Fane 4.2. Gen. krav - anlæg" sheetId="36" r:id="rId8"/>
    <sheet name="Fane 5. Individuelt eff. krav" sheetId="31" r:id="rId9"/>
    <sheet name="Fane 6. Ikke-påvirkelige omk." sheetId="19" r:id="rId10"/>
    <sheet name="Fane 7. Kontrol af ØR2023" sheetId="41" r:id="rId11"/>
    <sheet name="Fane 8. Skattesagen" sheetId="40" r:id="rId12"/>
    <sheet name="Fane 9. Anlægsprojekter (§ 19) " sheetId="11" r:id="rId13"/>
    <sheet name="Fane 10.1. Varige tillæg" sheetId="37" r:id="rId14"/>
    <sheet name="Fane 10.2. Engangstillæg" sheetId="39" r:id="rId15"/>
    <sheet name="Fane 11. Tilknyttet virksomhed" sheetId="29" r:id="rId16"/>
    <sheet name="Fane 12. Bortfald" sheetId="21" r:id="rId17"/>
    <sheet name="Fane 13. Nøgletal" sheetId="26" r:id="rId18"/>
  </sheets>
  <externalReferences>
    <externalReference r:id="rId19"/>
    <externalReference r:id="rId20"/>
    <externalReference r:id="rId21"/>
    <externalReference r:id="rId22"/>
  </externalReferences>
  <definedNames>
    <definedName name="Fane21">'Fane 2.1. Økonomisk ramme 2025'!$B$8:$D$33</definedName>
    <definedName name="Fane21total">'Fane 2.1. Økonomisk ramme 2025'!$C$33</definedName>
    <definedName name="Fane22">'Fane 2.2. Økonomisk ramme 2026'!$B$8:$D$21</definedName>
    <definedName name="Fane22total">'Fane 2.2. Økonomisk ramme 2026'!$C$21</definedName>
    <definedName name="Fane23">'Fane 2.3. Økonomisk ramme 2027'!$B$8:$D$21</definedName>
    <definedName name="Fane23total">'Fane 2.3. Økonomisk ramme 2027'!$C$21</definedName>
    <definedName name="Fane24">'Fane 2.4. Økonomisk ramme 2028'!$B$8:$D$19</definedName>
    <definedName name="Fane24total">'Fane 2.4. Økonomisk ramme 2028'!$C$19</definedName>
    <definedName name="Fane3total">'Fane 3. Omkostninger i ØR2024'!$C$34</definedName>
    <definedName name="Pris19">[1]Nøgletal!$C$5</definedName>
    <definedName name="Pris20">[2]Nøgletal!$C$6</definedName>
    <definedName name="Pris21">[2]Nøgletal!$C$7</definedName>
    <definedName name="Pris21UnderSpild">[2]Nøgletal!$E$7</definedName>
    <definedName name="Pris23">[3]Nøgletal!$C$9</definedName>
    <definedName name="Pris24">[3]Nøgletal!$C$10</definedName>
    <definedName name="PrisDecimal19">[4]Nøgletal!$B$5</definedName>
    <definedName name="PrisDecimal20">[4]Nøgletal!$B$6</definedName>
    <definedName name="PrisDecimal21">[4]Nøgletal!$B$7</definedName>
    <definedName name="PrisDecimal21UnderSpild">[4]Nøgletal!$D$7</definedName>
    <definedName name="PrisDecimal22">[4]Nøgletal!$B$8</definedName>
    <definedName name="Tabel_Fane_11">'Fane 11. Tilknyttet virksomhed'!$B$8:$F$12</definedName>
    <definedName name="Tabel_Fane_12">'Fane 12. Bortfald'!$B$8:$F$12</definedName>
    <definedName name="Tabel_Fane_2_1">'Fane 2.1. Økonomisk ramme 2025'!$B$8:$D$34</definedName>
    <definedName name="Tabel_Fane_2_2">'Fane 2.2. Økonomisk ramme 2026'!$B$8:$D$21</definedName>
    <definedName name="Tabel_Fane_2_3">'Fane 2.3. Økonomisk ramme 2027'!$B$8:$D$21</definedName>
    <definedName name="Tabel_Fane_2_4">'Fane 2.4. Økonomisk ramme 2028'!$B$8:$D$19</definedName>
    <definedName name="Tabel_Fane_3">'Fane 3. Omkostninger i ØR2024'!$B$8:$D$34</definedName>
    <definedName name="ØR24total">'Fane 3. Omkostninger i ØR2024'!$C$34</definedName>
    <definedName name="ØR25total">'Fane 2.1. Økonomisk ramme 2025'!$C$33</definedName>
    <definedName name="ØR26total">'Fane 2.2. Økonomisk ramme 2026'!$C$21</definedName>
    <definedName name="ØR27total">'Fane 2.3. Økonomisk ramme 2027'!$C$21</definedName>
    <definedName name="ØR28total">'Fane 2.4. Økonomisk ramme 2028'!$C$19</definedName>
  </definedNames>
  <calcPr calcId="191029"/>
</workbook>
</file>

<file path=xl/calcChain.xml><?xml version="1.0" encoding="utf-8"?>
<calcChain xmlns="http://schemas.openxmlformats.org/spreadsheetml/2006/main">
  <c r="C24" i="41" l="1"/>
  <c r="C10" i="36" l="1"/>
  <c r="C10" i="30"/>
  <c r="C9" i="2" l="1"/>
  <c r="F10" i="11" l="1"/>
  <c r="F11" i="11" s="1"/>
  <c r="C11" i="29"/>
  <c r="C12" i="29" l="1"/>
  <c r="E11" i="29" l="1"/>
  <c r="C20" i="43" l="1"/>
  <c r="E12" i="29" l="1"/>
  <c r="C16" i="41" l="1"/>
  <c r="C15" i="41"/>
  <c r="C17" i="41" l="1"/>
  <c r="C28" i="41" s="1"/>
  <c r="C18" i="23" l="1"/>
  <c r="C20" i="15"/>
  <c r="C32" i="2"/>
  <c r="E13" i="39" l="1"/>
  <c r="E14" i="39" s="1"/>
  <c r="C13" i="39"/>
  <c r="C14" i="39" s="1"/>
  <c r="J11" i="11" l="1"/>
  <c r="E10" i="37" s="1"/>
  <c r="H11" i="11"/>
  <c r="C10" i="37" s="1"/>
  <c r="C30" i="41" l="1"/>
  <c r="C18" i="15" l="1"/>
  <c r="C30" i="2"/>
  <c r="C18" i="40" l="1"/>
  <c r="C19" i="19" l="1"/>
  <c r="C20" i="19" s="1"/>
  <c r="C16" i="43" l="1"/>
  <c r="C16" i="23"/>
  <c r="C16" i="15"/>
  <c r="C15" i="2"/>
  <c r="E17" i="37"/>
  <c r="E18" i="37" s="1"/>
  <c r="C17" i="37"/>
  <c r="C18" i="37" s="1"/>
  <c r="C24" i="2" l="1"/>
  <c r="C26" i="2" s="1"/>
  <c r="C11" i="2" l="1"/>
  <c r="E11" i="21"/>
  <c r="E12" i="21" s="1"/>
  <c r="C11" i="21"/>
  <c r="C12" i="21" s="1"/>
  <c r="C12" i="2" l="1"/>
  <c r="C13" i="2"/>
  <c r="C16" i="36" s="1"/>
  <c r="C25" i="2" l="1"/>
  <c r="C27" i="2" s="1"/>
  <c r="C28" i="2" l="1"/>
  <c r="C10" i="2" l="1"/>
  <c r="C14" i="2"/>
  <c r="C16" i="30" l="1"/>
  <c r="C22" i="2"/>
  <c r="C11" i="30" l="1"/>
  <c r="C15" i="30" s="1"/>
  <c r="C17" i="30" l="1"/>
  <c r="C18" i="2" s="1"/>
  <c r="C16" i="2" l="1"/>
  <c r="C21" i="30"/>
  <c r="C11" i="36"/>
  <c r="C15" i="36" s="1"/>
  <c r="C17" i="2" l="1"/>
  <c r="C17" i="36"/>
  <c r="C19" i="2" s="1"/>
  <c r="C20" i="2" l="1"/>
  <c r="C33" i="2" s="1"/>
  <c r="C21" i="36"/>
  <c r="C22" i="36" s="1"/>
  <c r="C13" i="15" s="1"/>
  <c r="C22" i="30"/>
  <c r="C9" i="15" l="1"/>
  <c r="C10" i="15" s="1"/>
  <c r="C26" i="36"/>
  <c r="C27" i="36" s="1"/>
  <c r="C13" i="43" s="1"/>
  <c r="C12" i="15"/>
  <c r="C26" i="30"/>
  <c r="C27" i="30" s="1"/>
  <c r="C12" i="43" s="1"/>
  <c r="C11" i="15" l="1"/>
  <c r="C31" i="36"/>
  <c r="C32" i="36" s="1"/>
  <c r="C13" i="23" s="1"/>
  <c r="C31" i="30"/>
  <c r="C14" i="15" l="1"/>
  <c r="C9" i="43" s="1"/>
  <c r="C10" i="43" s="1"/>
  <c r="C32" i="30"/>
  <c r="C12" i="23" s="1"/>
  <c r="C21" i="15" l="1"/>
  <c r="C11" i="43"/>
  <c r="C14" i="43" l="1"/>
  <c r="C9" i="23" s="1"/>
  <c r="C10" i="23" l="1"/>
  <c r="C11" i="23" s="1"/>
  <c r="C14" i="23" s="1"/>
  <c r="C19" i="23" s="1"/>
  <c r="C21" i="43"/>
</calcChain>
</file>

<file path=xl/sharedStrings.xml><?xml version="1.0" encoding="utf-8"?>
<sst xmlns="http://schemas.openxmlformats.org/spreadsheetml/2006/main" count="453" uniqueCount="209">
  <si>
    <t>Beskrivelse af investeringen</t>
  </si>
  <si>
    <t>Std. levetid (år)</t>
  </si>
  <si>
    <t>Afskrivning</t>
  </si>
  <si>
    <t>kr.</t>
  </si>
  <si>
    <t>Bilag A</t>
  </si>
  <si>
    <t>Indholdsfortegnelse</t>
  </si>
  <si>
    <t>Fane 2.1</t>
  </si>
  <si>
    <t>Fane 5</t>
  </si>
  <si>
    <t>Fane 8</t>
  </si>
  <si>
    <t>Individuelt effektiviseringskrav</t>
  </si>
  <si>
    <t>Driftsomkostninger</t>
  </si>
  <si>
    <t>Ikke-påvirkelige omkostninger</t>
  </si>
  <si>
    <t>Oversigt over den økonomiske ramme</t>
  </si>
  <si>
    <t>Prisudvikling</t>
  </si>
  <si>
    <t>Fane 2.2</t>
  </si>
  <si>
    <t>Beskrivelse af tillæg</t>
  </si>
  <si>
    <t>Beskrivelse af bortfald eller nedsættelse</t>
  </si>
  <si>
    <t>Prisudvikling i kr.</t>
  </si>
  <si>
    <t>år</t>
  </si>
  <si>
    <t>Omkostninger i alt</t>
  </si>
  <si>
    <t>Vejledende</t>
  </si>
  <si>
    <t>Generelt effektiviseringskrav - Drift</t>
  </si>
  <si>
    <t>Generelt effektiviseringskrav - Anlæg</t>
  </si>
  <si>
    <t>Bortfald eller nedsættelse af omkostninger - Anlæg</t>
  </si>
  <si>
    <t>Bortfald eller nedsættelse af omkostninger - Drift</t>
  </si>
  <si>
    <t>Finansielle omkostninger</t>
  </si>
  <si>
    <t>Anlægsomkostninger</t>
  </si>
  <si>
    <t>Beskrivelse af ikke-påvirkelige omkostninger</t>
  </si>
  <si>
    <t>- Heraf Faktisk eller planlagt genanbringelse af væsentlige indtægter</t>
  </si>
  <si>
    <t>Fane 2.3</t>
  </si>
  <si>
    <t>Fane 2.4</t>
  </si>
  <si>
    <t>Bortfald</t>
  </si>
  <si>
    <t>Nye tillæg - Drift</t>
  </si>
  <si>
    <t>Nye tillæg - Anlæg</t>
  </si>
  <si>
    <t>Nye varige tillæg</t>
  </si>
  <si>
    <t>Engangstillæg - Drift</t>
  </si>
  <si>
    <t>Engangstillæg - Anlæg</t>
  </si>
  <si>
    <t>Fane 7</t>
  </si>
  <si>
    <t>Varige tillæg</t>
  </si>
  <si>
    <t>Engangstillæg</t>
  </si>
  <si>
    <t>Engangstillæg i alt</t>
  </si>
  <si>
    <t>Fane 5: Individuelt effektiviseringskrav</t>
  </si>
  <si>
    <t>Generelt effektiviseringskrav på drift</t>
  </si>
  <si>
    <t>Generelt effektiviseringskrav på anlæg</t>
  </si>
  <si>
    <t>Generelt effektiviseringskrav til anlægsomkostningerne</t>
  </si>
  <si>
    <t>Generelt effektiviseringskrav til driftsomkostningerne</t>
  </si>
  <si>
    <t>Fane 12</t>
  </si>
  <si>
    <t>Nøgletal</t>
  </si>
  <si>
    <t>Antal år i næste reguleringsperiode</t>
  </si>
  <si>
    <t>Fane 4.1</t>
  </si>
  <si>
    <t>Fane 4.2</t>
  </si>
  <si>
    <t>Fane 6</t>
  </si>
  <si>
    <t>Fane 11</t>
  </si>
  <si>
    <t>Fane 4.1: Generelt effektiviseringskrav til driftsomkostningerne</t>
  </si>
  <si>
    <t>Fane 4.2: Generelt effektiviseringskrav til anlægsomkostningerne</t>
  </si>
  <si>
    <t>Fane 6: Ikke-påvirkelige omkostninger</t>
  </si>
  <si>
    <t>Generelt effektiviseringskrav til brug for driftsomkostninger</t>
  </si>
  <si>
    <t>Fane 3</t>
  </si>
  <si>
    <t>Tilknyttet virksomhed</t>
  </si>
  <si>
    <t>Tilknyttet virksomhed under hovedvirksomheden</t>
  </si>
  <si>
    <t>Beskrivelse af tilknyttet virksomhed</t>
  </si>
  <si>
    <t>Tidligere tilknyttet virksomhed - Drift</t>
  </si>
  <si>
    <t>Tidligere tilknyttet virksomhed - Anlæg</t>
  </si>
  <si>
    <t>Videreførte omkostninger fra den økonomiske ramme for 2023</t>
  </si>
  <si>
    <t>Kontrol med de økonomiske rammer til indregning</t>
  </si>
  <si>
    <t>Kontrol med overholdelse af økonomiske rammer</t>
  </si>
  <si>
    <t>Kontrol med overholdelse af den økonomiske ramme</t>
  </si>
  <si>
    <t>Økonomisk ramme for 2024</t>
  </si>
  <si>
    <t>Videreførte omkostninger fra den økonomiske ramme for 2024</t>
  </si>
  <si>
    <t>Økonomisk ramme for 2025</t>
  </si>
  <si>
    <t xml:space="preserve">Indtægter fra tilbagebetalt skat eller sambeskatningsbidrag som følge af skattesagen </t>
  </si>
  <si>
    <t xml:space="preserve">Nedsættelse af økonomisk ramme som følge af skattesagen </t>
  </si>
  <si>
    <t>Videreførte omkostninger fra den økonomiske ramme for 2025</t>
  </si>
  <si>
    <t>Økonomisk ramme for 2026</t>
  </si>
  <si>
    <t>Anlægsprojekter igangsat senest den 1. marts 2016</t>
  </si>
  <si>
    <t>Generelt effektiviseringskrav til driftsomkostninger i de økonomiske rammer for 2024</t>
  </si>
  <si>
    <t>Generelt effektiviseringskrav til anlægsomkostninger i de økonomiske rammer for 2024</t>
  </si>
  <si>
    <t>Anlægsprojekter igangsat inden 1. marts 2016</t>
  </si>
  <si>
    <t xml:space="preserve">Anlægsprojekter (§ 19) </t>
  </si>
  <si>
    <t>Effektiviseringskrav (generelt og individuelt) – Drift</t>
  </si>
  <si>
    <t>Effektiviseringskrav (generelt og individuelt) – Anlæg</t>
  </si>
  <si>
    <t>Generelt effektiviseringskrav til driftsomkostningerne i ØR24</t>
  </si>
  <si>
    <t xml:space="preserve"> </t>
  </si>
  <si>
    <t>Anskaffelses-pris</t>
  </si>
  <si>
    <t>Drifts-omkostninger</t>
  </si>
  <si>
    <t>Fane 9</t>
  </si>
  <si>
    <t>Fane 10.1</t>
  </si>
  <si>
    <t>Fane 10.2</t>
  </si>
  <si>
    <t>Fane 13</t>
  </si>
  <si>
    <t>Skattesagen</t>
  </si>
  <si>
    <t>Fane 9: Anlægsprojekter igangsat senest den 1. marts 2016</t>
  </si>
  <si>
    <t>Fane 10.1: Varige tillæg</t>
  </si>
  <si>
    <t>Fane 10.2: Engangstillæg</t>
  </si>
  <si>
    <t>Fane 11: Tilknyttet virksomhed under hovedvirksomheden</t>
  </si>
  <si>
    <t>Fane 12: Bortfald eller nedsættelse af omkostninger til mål, medfinansiering eller udvidelse</t>
  </si>
  <si>
    <t>Fane 13: Nøgletal</t>
  </si>
  <si>
    <t>Fane 8: Indtægter til tilbagebetaling som følge af skattesagen</t>
  </si>
  <si>
    <t>Tilbagebetaling af indtægter som følge af skattesagen (jf. § 18 stk. 6)</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</si>
  <si>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</si>
  <si>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</si>
  <si>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</si>
  <si>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</si>
  <si>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</si>
  <si>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</si>
  <si>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</si>
  <si>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</si>
  <si>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Samlet tilbagebetaling</t>
  </si>
  <si>
    <t>Vejledende økonomisk ramme for 2027</t>
  </si>
  <si>
    <t>Videreførte omkostninger fra den økonomiske ramme for 2026</t>
  </si>
  <si>
    <t>Økonomisk ramme for 2027</t>
  </si>
  <si>
    <t>Nye varige driftsomkostninger til de økonomiske rammer for 2024</t>
  </si>
  <si>
    <t>Generelt effektiviseringskrav til brug for nye anlægsomkostninger i ØR2024</t>
  </si>
  <si>
    <t>Nye tillæg i alt i 2023-prisniveau</t>
  </si>
  <si>
    <t>Nye varige anlægsomkostninger til de økonomiske rammer for 2024</t>
  </si>
  <si>
    <t>Generelt effektiviseringskrav til anlægsomkostningerne i ØR24</t>
  </si>
  <si>
    <t>Tilknyttet virksomhed under hovedvirksomheden i alt (2023-prisniveau)</t>
  </si>
  <si>
    <t>Generelt effektiviseringskrav til driftsomkostninger i de vejledende økonomiske rammer for 2027</t>
  </si>
  <si>
    <t>Base for driftsomkostninger til de vejledende økonomiske rammer for 2027</t>
  </si>
  <si>
    <t>Vejledende generelt effektiviseringskrav til driftsomkostningerne i ØR27</t>
  </si>
  <si>
    <t>Generelt effektiviseringskrav til anlægsomkostninger i de vejledende økonomiske rammer for 2027</t>
  </si>
  <si>
    <t>Base for anlægsomkostninger til de vejledende økonomiske rammer for 2027</t>
  </si>
  <si>
    <t>Vejledende generelt effektiviseringskrav til anlægsomkostningerne i ØR27</t>
  </si>
  <si>
    <t>Bortfald eller nedsættelse i alt i 2023-prisniveau</t>
  </si>
  <si>
    <t>Fradrag i den økonomiske ramme i årene</t>
  </si>
  <si>
    <t>Samlet økonomisk ramme for 2025</t>
  </si>
  <si>
    <t>Vejledende økonomisk ramme for 2028</t>
  </si>
  <si>
    <t>Omkostninger i ØR2024</t>
  </si>
  <si>
    <t>Kontrol af den økonomiske ramme for 2023</t>
  </si>
  <si>
    <t>Fane 2.1: Samlet økonomisk ramme for 2025</t>
  </si>
  <si>
    <t>Fane 2.2: Samlet økonomisk ramme for 2026</t>
  </si>
  <si>
    <t>Fane 2.3: Samlet økonomisk ramme for 2027</t>
  </si>
  <si>
    <t>Fane 2.4: Samlet økonomisk ramme for 2028</t>
  </si>
  <si>
    <t>Videreførte omkostninger fra den økonomiske ramme for 2027</t>
  </si>
  <si>
    <t>Økonomisk ramme for 2028</t>
  </si>
  <si>
    <t>Fane 3: Videreførte omkostninger fra den økonomiske ramme for 2024</t>
  </si>
  <si>
    <t>Oversigt over den økonomiske ramme for 2024</t>
  </si>
  <si>
    <t>Generelt effektiviseringskrav til driftsomkostninger i de vejledende økonomiske rammer for 2028</t>
  </si>
  <si>
    <t>Base for driftsomkostninger til de vejledende økonomiske rammer for 2028</t>
  </si>
  <si>
    <t>Vejledende generelt effektiviseringskrav til driftsomkostningerne i ØR28</t>
  </si>
  <si>
    <t>Generelt effektiviseringskrav til anlægsomkostninger i de vejledende økonomiske rammer for 2028</t>
  </si>
  <si>
    <t>Base for anlægsomkostninger til de vejledende økonomiske rammer for 2028</t>
  </si>
  <si>
    <t>Vejledende generelt effektiviseringskrav til anlægsomkostningerne i ØR28</t>
  </si>
  <si>
    <t>Faktiske ikke-påvirkelige omkostninger i 2023</t>
  </si>
  <si>
    <t>Ikke-påvirkelige omkostninger i 2023-prisniveau</t>
  </si>
  <si>
    <t>Ikke-påvirkelige omkostninger i 2025-prisniveau</t>
  </si>
  <si>
    <t>Omkostninger i 2023</t>
  </si>
  <si>
    <t>Omkostninger til § 19-tillæg i alt - 2023 prisniveau</t>
  </si>
  <si>
    <t>Nye tillæg i alt i 2024-prisniveau</t>
  </si>
  <si>
    <t>Engangstillæg i alt i 2023-prisniveau</t>
  </si>
  <si>
    <t>Engangstillæg i alt i 2025-prisniveau</t>
  </si>
  <si>
    <t>Engangstillæg til de økonomiske rammer for 2025</t>
  </si>
  <si>
    <t>Tilknyttet virksomhed under hovedvirksomheden i alt (2024-prisniveau)</t>
  </si>
  <si>
    <t>Bortfald eller nedsættelse fra og med de økonomiske rammer for 2025</t>
  </si>
  <si>
    <t>Generelt effektiviseringskrav til driftsomkostninger i de økonomiske rammer for 2025</t>
  </si>
  <si>
    <t>Nye varige driftsomkostninger til de økonomiske rammer for 2025</t>
  </si>
  <si>
    <t>Generelt effektiviseringskrav til driftsomkostningerne i ØR25</t>
  </si>
  <si>
    <t>Generelt effektiviseringskrav til anlægsomkostninger i de økonomiske rammer for 2025</t>
  </si>
  <si>
    <t>Nye varige anlægsomkostninger til de økonomiske rammer for 2025</t>
  </si>
  <si>
    <t>Generelt effektiviseringskrav til anlægsomkostningerne i ØR25</t>
  </si>
  <si>
    <t>Samlet økonomisk ramme for 2026</t>
  </si>
  <si>
    <t>Individuelt effektiviseringskrav til de økonomiske rammer for 2025-2026</t>
  </si>
  <si>
    <t>Note: Beregningen af jeres individuelle effektiviseringskrav fremgår af metodepapir samt bilag til benchmarkingmodellen 2025.</t>
  </si>
  <si>
    <t>Base for anlægsomkostninger til de økonomiske rammer for 2024</t>
  </si>
  <si>
    <t>Base for anlægsomkostninger til de økonomiske rammer for 2025</t>
  </si>
  <si>
    <t>Base for anlægsomkostninger til de økonomiske rammer for 2026</t>
  </si>
  <si>
    <t>Generelt effektiviseringskrav til anlægsomkostningerne i ØR26</t>
  </si>
  <si>
    <t>Generelt effektiviseringskrav til anlægsomkostninger i de økonomiske rammer for 2026</t>
  </si>
  <si>
    <t>Base for driftsomkostninger til de økonomiske rammer for 2024</t>
  </si>
  <si>
    <t>Base for driftsomkostninger til de økonomiske rammer for 2025</t>
  </si>
  <si>
    <t>Base for driftsomkostninger til de økonomiske rammer for 2026</t>
  </si>
  <si>
    <t>Generelt effektiviseringskrav til driftsomkostninger i de økonomiske rammer for 2026</t>
  </si>
  <si>
    <t>Generelt effektiviseringskrav til driftsomkostningerne i ØR26</t>
  </si>
  <si>
    <t>Fane 7: Kontrol med overholdelse af den økonomiske ramme for 2023</t>
  </si>
  <si>
    <t xml:space="preserve">Note: Opgørelsen af over/underdækninger er taget fra jeres tidligere fremsendte afgørelse. I kan derfor ikke komme med høringssvar til denne opgørelse. Positive værdier er udtryk for at rammerne er overholdt (underdækning) og negative værdier er udtryk for at rammerne ikke er overholdt (overdækning). </t>
  </si>
  <si>
    <t>Over/underdækning i 2022</t>
  </si>
  <si>
    <t>Tidligere opgjorte over/underdækninger i forrige reguleringsperiode</t>
  </si>
  <si>
    <t>Over/underdækning før 2022</t>
  </si>
  <si>
    <t>Fradrag i de økonomiske rammer for 2025-2026 vedr. overdækning i 2022</t>
  </si>
  <si>
    <t>Evt. overdækning i 2022</t>
  </si>
  <si>
    <t>Fradrag i de økonomiske rammer for 2025-2026 vedr. en evt. overdækning i 2022</t>
  </si>
  <si>
    <t>Kontrol med overholdelse af den økonomiske ramme for 2023</t>
  </si>
  <si>
    <t>Indtægtsramme i den økonomiske ramme for 2023</t>
  </si>
  <si>
    <t>Faktiske indtægter i 2023</t>
  </si>
  <si>
    <t>Resultat af kontrol med overholdelse af den økonomiske rammer for 2023</t>
  </si>
  <si>
    <t>Samlet fradrag til indregning i de økonomiske rammer for 2025-2026</t>
  </si>
  <si>
    <t>Evt. underdækning før 2022</t>
  </si>
  <si>
    <t>Prisudvikling til brug for nye omkostninger i ØR2024</t>
  </si>
  <si>
    <t>Prisudvikling til brug for ØR2023-2024</t>
  </si>
  <si>
    <t>Generelt effektiviseringskrav til brug for anlægsomkostninger i ØR2023-2024</t>
  </si>
  <si>
    <t>Bortfald eller nedsættelse i alt i 2025-prisniveau</t>
  </si>
  <si>
    <t>Ingen tilknyttet virksomhed under hovedvirksomheden</t>
  </si>
  <si>
    <t>Ingen bortfald eller nedsættelse</t>
  </si>
  <si>
    <t>Ingen anlægsprojekter</t>
  </si>
  <si>
    <t xml:space="preserve">Note: Denne opgørelse er taget fra jeres økonomiske ramme for 2024. 
I kan derfor ikke komme med høringssvar til denne opgørelse. </t>
  </si>
  <si>
    <t>Prisudvikling til brug for ØR2025-2026</t>
  </si>
  <si>
    <t>Generelt effektiviseringskrav til brug for anlægsomkostninger i ØR2025-2026</t>
  </si>
  <si>
    <t>Til økonomisk ramme for 2025-2026</t>
  </si>
  <si>
    <t>Afgift for ledningsført vand</t>
  </si>
  <si>
    <t>Afgift til Forsyningssekretariatet</t>
  </si>
  <si>
    <t>Ejendomsskatter</t>
  </si>
  <si>
    <t>Erstatning (godtgørelse for 25 meter Zone)</t>
  </si>
  <si>
    <t>3 boringer i Merkær skov</t>
  </si>
  <si>
    <t>Forstærkning af forsyning til Hou</t>
  </si>
  <si>
    <t>Målere udvidelse af forsyningsområdet</t>
  </si>
  <si>
    <t>Råvandsledning Merkær til Ulvskov</t>
  </si>
  <si>
    <t>Udvidelse af forsyningsområdet ledningsnet</t>
  </si>
  <si>
    <t>BNBO Hesselbjergvej 49</t>
  </si>
  <si>
    <t>BNBO Skolebakken 3 /Kongshusvej 200</t>
  </si>
  <si>
    <t xml:space="preserve">Frivillige dyrkningsaftaler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</si>
</sst>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 #,##0.00_ ;_ * \-#,##0.00_ ;_ * &quot;-&quot;??_ ;_ @_ "/>
    <numFmt numFmtId="165" formatCode="_ * #,##0_ ;_ * \-#,##0_ ;_ * &quot;-&quot;??_ ;_ @_ "/>
  </numFmts>
  <fonts count="15"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
      <sz val="10"/>
      <name val="Times New Roman"/>
      <family val="1"/>
    </font>
  </fonts>
  <fills count="10">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9E0B1D"/>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s>
  <cellStyleXfs count="5">
    <xf numFmtId="0" fontId="0" fillId="0" borderId="0"/>
    <xf numFmtId="164" fontId="10" fillId="0" borderId="0" applyFont="0" applyFill="0" applyBorder="0" applyAlignment="0" applyProtection="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20">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8" borderId="1" xfId="0" applyNumberFormat="1" applyFont="1" applyFill="1" applyBorder="1" applyAlignment="1" applyProtection="1">
      <alignment wrapText="1"/>
    </xf>
    <xf numFmtId="0" fontId="8" fillId="8" borderId="1" xfId="0" applyFont="1" applyFill="1" applyBorder="1" applyAlignment="1" applyProtection="1">
      <alignment wrapText="1"/>
    </xf>
    <xf numFmtId="3" fontId="8" fillId="8" borderId="1" xfId="0" applyNumberFormat="1" applyFont="1" applyFill="1" applyBorder="1" applyProtection="1"/>
    <xf numFmtId="3" fontId="8" fillId="4" borderId="1" xfId="0" applyNumberFormat="1" applyFont="1" applyFill="1" applyBorder="1" applyProtection="1"/>
    <xf numFmtId="0" fontId="8" fillId="4" borderId="1" xfId="0" applyFont="1" applyFill="1" applyBorder="1" applyAlignment="1" applyProtection="1">
      <alignment wrapText="1"/>
    </xf>
    <xf numFmtId="3" fontId="7" fillId="3" borderId="1" xfId="0" applyNumberFormat="1" applyFont="1" applyFill="1" applyBorder="1" applyProtection="1"/>
    <xf numFmtId="0" fontId="7" fillId="3" borderId="1" xfId="0" applyFont="1" applyFill="1" applyBorder="1" applyProtection="1"/>
    <xf numFmtId="0" fontId="8" fillId="8"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7" fillId="3" borderId="3" xfId="0" applyFont="1" applyFill="1" applyBorder="1" applyAlignment="1" applyProtection="1"/>
    <xf numFmtId="0" fontId="7" fillId="3" borderId="2" xfId="0" applyFont="1" applyFill="1" applyBorder="1" applyAlignment="1" applyProtection="1">
      <alignment wrapText="1"/>
    </xf>
    <xf numFmtId="3" fontId="8" fillId="8" borderId="1" xfId="0" applyNumberFormat="1" applyFont="1" applyFill="1" applyBorder="1" applyAlignment="1" applyProtection="1"/>
    <xf numFmtId="165" fontId="8" fillId="8" borderId="1" xfId="1" applyNumberFormat="1" applyFont="1" applyFill="1" applyBorder="1" applyProtection="1"/>
    <xf numFmtId="49" fontId="8" fillId="8" borderId="2" xfId="0" applyNumberFormat="1" applyFont="1" applyFill="1" applyBorder="1" applyAlignment="1" applyProtection="1"/>
    <xf numFmtId="0" fontId="8" fillId="8" borderId="2" xfId="0" quotePrefix="1" applyFont="1" applyFill="1" applyBorder="1" applyAlignment="1" applyProtection="1">
      <alignment horizontal="left" wrapText="1"/>
    </xf>
    <xf numFmtId="0" fontId="7" fillId="3" borderId="1" xfId="0" applyFont="1" applyFill="1" applyBorder="1" applyAlignment="1" applyProtection="1"/>
    <xf numFmtId="49" fontId="8" fillId="8" borderId="2" xfId="0" applyNumberFormat="1" applyFont="1" applyFill="1" applyBorder="1" applyAlignment="1" applyProtection="1">
      <alignment horizontal="left"/>
    </xf>
    <xf numFmtId="0" fontId="8" fillId="4" borderId="3" xfId="0" applyFont="1" applyFill="1" applyBorder="1" applyAlignment="1" applyProtection="1">
      <alignment wrapText="1"/>
    </xf>
    <xf numFmtId="0" fontId="8" fillId="8" borderId="2" xfId="0" applyFont="1" applyFill="1" applyBorder="1" applyAlignment="1" applyProtection="1"/>
    <xf numFmtId="3" fontId="7" fillId="3" borderId="6" xfId="0" applyNumberFormat="1" applyFont="1" applyFill="1" applyBorder="1" applyAlignment="1" applyProtection="1"/>
    <xf numFmtId="0" fontId="0" fillId="8" borderId="0" xfId="0" applyFill="1" applyProtection="1"/>
    <xf numFmtId="165" fontId="7" fillId="3" borderId="6" xfId="1" applyNumberFormat="1" applyFont="1" applyFill="1" applyBorder="1" applyAlignment="1" applyProtection="1"/>
    <xf numFmtId="165" fontId="0" fillId="2" borderId="0" xfId="1" applyNumberFormat="1" applyFont="1" applyFill="1" applyProtection="1"/>
    <xf numFmtId="165" fontId="0" fillId="0" borderId="0" xfId="1" applyNumberFormat="1" applyFont="1" applyProtection="1"/>
    <xf numFmtId="0" fontId="0" fillId="2" borderId="0" xfId="0" applyFill="1" applyAlignment="1" applyProtection="1">
      <alignment horizontal="right"/>
    </xf>
    <xf numFmtId="0" fontId="7" fillId="3" borderId="3" xfId="0" applyFont="1" applyFill="1" applyBorder="1" applyAlignment="1" applyProtection="1">
      <alignment horizontal="right"/>
    </xf>
    <xf numFmtId="10" fontId="8" fillId="8" borderId="1" xfId="4" applyNumberFormat="1" applyFont="1" applyFill="1" applyBorder="1" applyAlignment="1" applyProtection="1">
      <alignment horizontal="right"/>
    </xf>
    <xf numFmtId="10" fontId="8" fillId="0" borderId="1" xfId="4" applyNumberFormat="1" applyFont="1" applyFill="1" applyBorder="1" applyAlignment="1" applyProtection="1">
      <alignment horizontal="right"/>
    </xf>
    <xf numFmtId="0" fontId="0" fillId="0" borderId="0" xfId="0" applyAlignment="1" applyProtection="1">
      <alignment horizontal="right"/>
    </xf>
    <xf numFmtId="0" fontId="8" fillId="0" borderId="1" xfId="0" applyFont="1" applyFill="1" applyBorder="1" applyProtection="1"/>
    <xf numFmtId="0" fontId="0" fillId="0" borderId="0" xfId="0" applyFill="1" applyProtection="1"/>
    <xf numFmtId="3" fontId="8" fillId="0" borderId="1" xfId="0" applyNumberFormat="1" applyFont="1" applyFill="1" applyBorder="1" applyProtection="1"/>
    <xf numFmtId="164" fontId="7" fillId="3" borderId="6" xfId="1" applyFont="1" applyFill="1" applyBorder="1" applyAlignment="1" applyProtection="1"/>
    <xf numFmtId="0" fontId="8" fillId="0" borderId="1" xfId="0" applyFont="1" applyFill="1" applyBorder="1" applyAlignment="1" applyProtection="1"/>
    <xf numFmtId="10" fontId="8" fillId="0" borderId="1" xfId="0" applyNumberFormat="1" applyFont="1" applyFill="1" applyBorder="1" applyProtection="1"/>
    <xf numFmtId="0" fontId="8" fillId="4" borderId="1" xfId="0" applyFont="1" applyFill="1" applyBorder="1" applyAlignment="1" applyProtection="1"/>
    <xf numFmtId="3" fontId="8" fillId="4" borderId="2" xfId="0" applyNumberFormat="1" applyFont="1" applyFill="1" applyBorder="1" applyAlignment="1" applyProtection="1">
      <alignment horizontal="right"/>
    </xf>
    <xf numFmtId="0" fontId="8" fillId="8" borderId="2" xfId="0" quotePrefix="1" applyFont="1" applyFill="1" applyBorder="1" applyAlignment="1" applyProtection="1">
      <alignment wrapText="1"/>
    </xf>
    <xf numFmtId="165" fontId="8" fillId="0" borderId="1" xfId="1" applyNumberFormat="1" applyFont="1" applyFill="1" applyBorder="1" applyProtection="1"/>
    <xf numFmtId="10" fontId="8" fillId="0" borderId="3" xfId="4" applyNumberFormat="1" applyFont="1" applyFill="1" applyBorder="1" applyAlignment="1" applyProtection="1">
      <alignment horizontal="right"/>
    </xf>
    <xf numFmtId="1" fontId="8" fillId="4" borderId="1" xfId="1" applyNumberFormat="1" applyFont="1" applyFill="1" applyBorder="1" applyProtection="1"/>
    <xf numFmtId="0" fontId="8" fillId="4" borderId="2" xfId="0" applyFont="1" applyFill="1" applyBorder="1" applyAlignment="1" applyProtection="1"/>
    <xf numFmtId="0" fontId="7" fillId="3" borderId="2" xfId="0" applyFont="1" applyFill="1" applyBorder="1" applyAlignment="1" applyProtection="1"/>
    <xf numFmtId="0" fontId="7" fillId="3" borderId="6" xfId="0" applyFont="1" applyFill="1" applyBorder="1" applyAlignment="1" applyProtection="1"/>
    <xf numFmtId="0" fontId="8" fillId="4" borderId="2" xfId="0" applyFont="1" applyFill="1" applyBorder="1" applyAlignment="1" applyProtection="1">
      <alignment wrapText="1"/>
    </xf>
    <xf numFmtId="0" fontId="8" fillId="8" borderId="2" xfId="0" applyFont="1" applyFill="1" applyBorder="1" applyAlignment="1" applyProtection="1">
      <alignment wrapText="1"/>
    </xf>
    <xf numFmtId="0" fontId="8" fillId="8" borderId="2" xfId="0" applyFont="1" applyFill="1" applyBorder="1" applyAlignment="1" applyProtection="1">
      <alignment horizontal="left"/>
    </xf>
    <xf numFmtId="0" fontId="8" fillId="8" borderId="2" xfId="0" quotePrefix="1" applyFont="1" applyFill="1" applyBorder="1" applyAlignment="1" applyProtection="1">
      <alignment horizontal="left"/>
    </xf>
    <xf numFmtId="0" fontId="8" fillId="4" borderId="1" xfId="0" applyFont="1" applyFill="1" applyBorder="1" applyAlignment="1" applyProtection="1">
      <alignment horizontal="left"/>
    </xf>
    <xf numFmtId="49" fontId="8" fillId="8" borderId="2" xfId="0" applyNumberFormat="1" applyFont="1" applyFill="1" applyBorder="1" applyAlignment="1" applyProtection="1">
      <alignment horizontal="left" wrapText="1"/>
    </xf>
    <xf numFmtId="49" fontId="8" fillId="8" borderId="2" xfId="0" applyNumberFormat="1" applyFont="1" applyFill="1" applyBorder="1" applyAlignment="1" applyProtection="1">
      <alignment wrapText="1"/>
    </xf>
    <xf numFmtId="1" fontId="8" fillId="8" borderId="1" xfId="1" applyNumberFormat="1" applyFont="1" applyFill="1" applyBorder="1" applyProtection="1"/>
    <xf numFmtId="3" fontId="8" fillId="4" borderId="1" xfId="0" applyNumberFormat="1" applyFont="1" applyFill="1" applyBorder="1" applyAlignment="1" applyProtection="1">
      <alignment horizontal="right"/>
    </xf>
    <xf numFmtId="10" fontId="14" fillId="0" borderId="1" xfId="4" applyNumberFormat="1" applyFont="1" applyFill="1" applyBorder="1" applyAlignment="1" applyProtection="1">
      <alignment horizontal="right"/>
    </xf>
    <xf numFmtId="0" fontId="8" fillId="8" borderId="2" xfId="0" applyFont="1" applyFill="1" applyBorder="1" applyAlignment="1" applyProtection="1">
      <alignment vertical="top" wrapText="1"/>
    </xf>
    <xf numFmtId="3" fontId="8" fillId="8" borderId="1" xfId="0" applyNumberFormat="1" applyFont="1" applyFill="1" applyBorder="1" applyAlignment="1" applyProtection="1">
      <alignment vertical="top" wrapText="1"/>
    </xf>
    <xf numFmtId="1" fontId="8" fillId="0" borderId="1" xfId="1" applyNumberFormat="1" applyFont="1" applyFill="1" applyBorder="1" applyProtection="1"/>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4" borderId="2" xfId="0" applyFont="1" applyFill="1" applyBorder="1" applyAlignment="1" applyProtection="1">
      <alignment horizontal="left"/>
    </xf>
    <xf numFmtId="0" fontId="8" fillId="4" borderId="3" xfId="0" applyFont="1" applyFill="1" applyBorder="1" applyAlignment="1" applyProtection="1">
      <alignment horizontal="left"/>
    </xf>
    <xf numFmtId="0" fontId="1" fillId="3" borderId="4" xfId="2" applyFont="1" applyFill="1" applyBorder="1" applyAlignment="1" applyProtection="1">
      <alignment horizontal="center"/>
    </xf>
    <xf numFmtId="0" fontId="1" fillId="3" borderId="0" xfId="2" applyFont="1" applyFill="1" applyBorder="1" applyAlignment="1" applyProtection="1">
      <alignment horizontal="center"/>
    </xf>
    <xf numFmtId="0" fontId="1" fillId="3" borderId="5" xfId="2" applyFont="1" applyFill="1" applyBorder="1" applyAlignment="1" applyProtection="1">
      <alignment horizontal="center"/>
    </xf>
    <xf numFmtId="0" fontId="4" fillId="2" borderId="0" xfId="0" applyFont="1" applyFill="1" applyAlignment="1" applyProtection="1">
      <alignment horizontal="center" vertical="center"/>
    </xf>
    <xf numFmtId="0" fontId="1" fillId="7" borderId="4" xfId="2" applyFont="1" applyFill="1" applyBorder="1" applyAlignment="1" applyProtection="1">
      <alignment horizontal="center"/>
    </xf>
    <xf numFmtId="0" fontId="1" fillId="7" borderId="0" xfId="2" applyFont="1" applyFill="1" applyBorder="1" applyAlignment="1" applyProtection="1">
      <alignment horizontal="center"/>
    </xf>
    <xf numFmtId="0" fontId="1" fillId="7" borderId="5" xfId="2" applyFont="1" applyFill="1" applyBorder="1" applyAlignment="1" applyProtection="1">
      <alignment horizont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5" borderId="4" xfId="2" applyFont="1" applyFill="1" applyBorder="1" applyAlignment="1" applyProtection="1">
      <alignment horizontal="center"/>
    </xf>
    <xf numFmtId="0" fontId="1" fillId="5" borderId="0" xfId="2" applyFont="1" applyFill="1" applyBorder="1" applyAlignment="1" applyProtection="1">
      <alignment horizontal="center"/>
    </xf>
    <xf numFmtId="0" fontId="1" fillId="5" borderId="5" xfId="2" applyFont="1" applyFill="1" applyBorder="1" applyAlignment="1" applyProtection="1">
      <alignment horizontal="center"/>
    </xf>
    <xf numFmtId="0" fontId="1" fillId="9" borderId="8" xfId="2" applyFont="1" applyFill="1" applyBorder="1" applyAlignment="1" applyProtection="1">
      <alignment horizontal="center"/>
    </xf>
    <xf numFmtId="0" fontId="1" fillId="9" borderId="7" xfId="2" applyFont="1" applyFill="1" applyBorder="1" applyAlignment="1" applyProtection="1">
      <alignment horizontal="center"/>
    </xf>
    <xf numFmtId="0" fontId="1" fillId="9" borderId="9" xfId="2" applyFont="1" applyFill="1" applyBorder="1" applyAlignment="1" applyProtection="1">
      <alignment horizontal="center"/>
    </xf>
    <xf numFmtId="0" fontId="1" fillId="6" borderId="4" xfId="2" applyFont="1" applyFill="1" applyBorder="1" applyAlignment="1" applyProtection="1">
      <alignment horizontal="center"/>
    </xf>
    <xf numFmtId="0" fontId="1" fillId="6" borderId="0" xfId="2" applyFont="1" applyFill="1" applyBorder="1" applyAlignment="1" applyProtection="1">
      <alignment horizontal="center"/>
    </xf>
    <xf numFmtId="0" fontId="1" fillId="6" borderId="5" xfId="2"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8" fillId="0" borderId="12" xfId="0" applyFont="1" applyFill="1" applyBorder="1" applyAlignment="1" applyProtection="1">
      <alignment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2" fillId="2" borderId="0" xfId="0" applyFont="1" applyFill="1" applyBorder="1" applyAlignment="1" applyProtection="1">
      <alignment horizontal="center" wrapText="1"/>
    </xf>
    <xf numFmtId="0" fontId="0" fillId="0" borderId="0" xfId="0" applyBorder="1" applyAlignment="1" applyProtection="1">
      <alignment horizontal="center" wrapText="1"/>
    </xf>
    <xf numFmtId="0" fontId="8" fillId="8" borderId="10" xfId="0" applyFont="1" applyFill="1" applyBorder="1" applyAlignment="1" applyProtection="1">
      <alignment horizontal="left" vertical="top" wrapText="1"/>
    </xf>
    <xf numFmtId="0" fontId="8" fillId="8" borderId="11" xfId="0" applyFont="1" applyFill="1" applyBorder="1" applyAlignment="1" applyProtection="1">
      <alignment horizontal="left" vertical="top" wrapText="1"/>
    </xf>
    <xf numFmtId="0" fontId="8" fillId="8" borderId="8" xfId="0" applyFont="1" applyFill="1" applyBorder="1" applyAlignment="1" applyProtection="1">
      <alignment horizontal="left" vertical="top" wrapText="1"/>
    </xf>
    <xf numFmtId="0" fontId="8" fillId="8" borderId="9" xfId="0" applyFont="1" applyFill="1" applyBorder="1" applyAlignment="1" applyProtection="1">
      <alignment horizontal="left" vertical="top" wrapText="1"/>
    </xf>
    <xf numFmtId="0" fontId="8" fillId="8" borderId="2" xfId="0" applyFont="1" applyFill="1" applyBorder="1" applyAlignment="1" applyProtection="1">
      <alignment horizontal="left" wrapText="1"/>
    </xf>
    <xf numFmtId="0" fontId="8" fillId="8" borderId="6" xfId="0" applyFont="1" applyFill="1" applyBorder="1" applyAlignment="1" applyProtection="1">
      <alignment horizontal="left" wrapText="1"/>
    </xf>
    <xf numFmtId="0" fontId="8" fillId="8" borderId="3" xfId="0" applyFont="1" applyFill="1" applyBorder="1" applyAlignment="1" applyProtection="1">
      <alignment horizontal="left" wrapText="1"/>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0" fontId="8" fillId="4" borderId="2" xfId="0" applyFont="1" applyFill="1" applyBorder="1" applyAlignment="1" applyProtection="1">
      <alignment horizontal="left"/>
    </xf>
    <xf numFmtId="0" fontId="8" fillId="4" borderId="3" xfId="0" applyFont="1" applyFill="1" applyBorder="1" applyAlignment="1" applyProtection="1">
      <alignment horizontal="left"/>
    </xf>
  </cellXfs>
  <cellStyles count="5">
    <cellStyle name="Komma" xfId="1" builtinId="3"/>
    <cellStyle name="Link" xfId="2" builtinId="8"/>
    <cellStyle name="Normal" xfId="0" builtinId="0"/>
    <cellStyle name="Normal 12" xfId="3" xr:uid="{00000000-0005-0000-0000-000003000000}"/>
    <cellStyle name="Procent" xfId="4" builtinId="5"/>
  </cellStyles>
  <dxfs count="0"/>
  <tableStyles count="0" defaultTableStyle="TableStyleMedium2" defaultPivotStyle="PivotStyleLight16"/>
  <colors>
    <mruColors>
      <color rgb="FFBFBFBF"/>
      <color rgb="FFF2DCDB"/>
      <color rgb="FFB6DDF3"/>
      <color rgb="FF212121"/>
      <color rgb="FF650816"/>
      <color rgb="FF4C4C4C"/>
      <color rgb="FFD9D9D9"/>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externalLink" Target="externalLinks/externalLink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VAND/Sagsbehandling/&#216;R-statusark.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VAND/Skabeloner/&#216;konomiske%20rammer/2021/&#216;R%20Statusark/&#216;R-statusark_Udkast_2021.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prod.sitad.dk\dfs\CU2204\enheder\VAND\Skabeloner\&#216;konomiske%20rammer\2024\TEST_statusark%20og%20bilag%20A\TEST_LAGU\&#216;R-statusark.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rod.sitad.dk\dfs\VAND\Skabeloner\&#216;konomiske%20rammer\2022\&#216;R%20statusark\Kopi%20af%20&#216;R-statusark2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5-28"/>
      <sheetName val="ØR24-27"/>
      <sheetName val="ØR23-26"/>
      <sheetName val="ØR22-25"/>
      <sheetName val="ØR21-24"/>
      <sheetName val="ØR20-23"/>
      <sheetName val="ØR19-22"/>
      <sheetName val="ØR18"/>
      <sheetName val="ØR17-20"/>
      <sheetName val="Nøgletal"/>
      <sheetName val="Farvekode forklaring"/>
      <sheetName val="ØR25 - testramme"/>
    </sheetNames>
    <sheetDataSet>
      <sheetData sheetId="0"/>
      <sheetData sheetId="1"/>
      <sheetData sheetId="2"/>
      <sheetData sheetId="3"/>
      <sheetData sheetId="4"/>
      <sheetData sheetId="5"/>
      <sheetData sheetId="6"/>
      <sheetData sheetId="7"/>
      <sheetData sheetId="8"/>
      <sheetData sheetId="9"/>
      <sheetData sheetId="10">
        <row r="5">
          <cell r="C5">
            <v>1.0168999999999999</v>
          </cell>
        </row>
      </sheetData>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2-25"/>
      <sheetName val="ØR21-24"/>
      <sheetName val="ØR20-23"/>
      <sheetName val="ØR19-22"/>
      <sheetName val="ØR18"/>
      <sheetName val="ØR17-20"/>
      <sheetName val="Nøgletal"/>
      <sheetName val="Ark2"/>
      <sheetName val="Ark3"/>
    </sheetNames>
    <sheetDataSet>
      <sheetData sheetId="0"/>
      <sheetData sheetId="1"/>
      <sheetData sheetId="2"/>
      <sheetData sheetId="3"/>
      <sheetData sheetId="4"/>
      <sheetData sheetId="5"/>
      <sheetData sheetId="6"/>
      <sheetData sheetId="7">
        <row r="6">
          <cell r="C6">
            <v>1.0197000000000001</v>
          </cell>
        </row>
        <row r="7">
          <cell r="C7">
            <v>1.0122</v>
          </cell>
          <cell r="E7">
            <v>1.0132000000000001</v>
          </cell>
        </row>
      </sheetData>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5-28"/>
      <sheetName val="ØR24-27"/>
      <sheetName val="ØR23-26"/>
      <sheetName val="ØR22-25"/>
      <sheetName val="ØR21-24"/>
      <sheetName val="ØR20-23"/>
      <sheetName val="ØR19-22"/>
      <sheetName val="ØR18"/>
      <sheetName val="ØR17-20"/>
      <sheetName val="Nøgletal"/>
      <sheetName val="Farvekode forklaring"/>
      <sheetName val="ØR25 - testramme"/>
    </sheetNames>
    <sheetDataSet>
      <sheetData sheetId="0"/>
      <sheetData sheetId="1"/>
      <sheetData sheetId="2"/>
      <sheetData sheetId="3"/>
      <sheetData sheetId="4"/>
      <sheetData sheetId="5"/>
      <sheetData sheetId="6"/>
      <sheetData sheetId="7"/>
      <sheetData sheetId="8"/>
      <sheetData sheetId="9"/>
      <sheetData sheetId="10">
        <row r="9">
          <cell r="C9">
            <v>1.0356000000000001</v>
          </cell>
        </row>
        <row r="10">
          <cell r="C10">
            <v>1.0808</v>
          </cell>
        </row>
      </sheetData>
      <sheetData sheetId="11"/>
      <sheetData sheetId="1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3-26 "/>
      <sheetName val="ØR22-25"/>
      <sheetName val="ØR21-24"/>
      <sheetName val="ØR20-23"/>
      <sheetName val="ØR19-22"/>
      <sheetName val="ØR18"/>
      <sheetName val="ØR17-20"/>
      <sheetName val="Nøgletal"/>
      <sheetName val="Farvekode forklaring"/>
      <sheetName val="Ark3"/>
    </sheetNames>
    <sheetDataSet>
      <sheetData sheetId="0"/>
      <sheetData sheetId="1"/>
      <sheetData sheetId="2"/>
      <sheetData sheetId="3"/>
      <sheetData sheetId="4"/>
      <sheetData sheetId="5"/>
      <sheetData sheetId="6"/>
      <sheetData sheetId="7"/>
      <sheetData sheetId="8">
        <row r="5">
          <cell r="B5">
            <v>1.6899999999999998E-2</v>
          </cell>
        </row>
        <row r="6">
          <cell r="B6">
            <v>1.9699999999999999E-2</v>
          </cell>
        </row>
        <row r="7">
          <cell r="B7">
            <v>1.2200000000000001E-2</v>
          </cell>
          <cell r="D7">
            <v>1.32E-2</v>
          </cell>
        </row>
        <row r="8">
          <cell r="B8">
            <v>3.3E-3</v>
          </cell>
        </row>
      </sheetData>
      <sheetData sheetId="9"/>
      <sheetData sheetId="10"/>
    </sheetDataSet>
  </externalBook>
</externalLink>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dimension ref="A1:G51"/>
  <sheetViews>
    <sheetView showGridLines="0" tabSelected="1" zoomScaleNormal="100" workbookViewId="0"/>
  </sheetViews>
  <sheetFormatPr defaultColWidth="0" defaultRowHeight="15" zeroHeight="1" x14ac:dyDescent="0.25"/>
  <cols>
    <col min="1" max="1" width="11" style="2" customWidth="1"/>
    <col min="2" max="3" width="9.140625" style="2" customWidth="1"/>
    <col min="4" max="4" width="11.7109375" style="2" customWidth="1"/>
    <col min="5" max="5" width="11.5703125" style="2" customWidth="1"/>
    <col min="6" max="6" width="9.140625" style="2" customWidth="1"/>
    <col min="7" max="7" width="21.57031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
      <c r="C3" s="1"/>
      <c r="D3" s="1"/>
      <c r="E3" s="1"/>
      <c r="F3" s="1"/>
      <c r="G3" s="1"/>
    </row>
    <row r="4" spans="1:7" ht="15" customHeight="1" x14ac:dyDescent="0.25">
      <c r="A4" s="1"/>
      <c r="B4" s="1"/>
      <c r="C4" s="1"/>
      <c r="D4" s="1"/>
      <c r="E4" s="1"/>
      <c r="F4" s="1"/>
      <c r="G4" s="1"/>
    </row>
    <row r="5" spans="1:7" x14ac:dyDescent="0.25">
      <c r="A5" s="1"/>
      <c r="B5" s="1"/>
      <c r="C5" s="1"/>
      <c r="D5" s="1"/>
      <c r="E5" s="1"/>
      <c r="F5" s="1"/>
      <c r="G5" s="1"/>
    </row>
    <row r="6" spans="1:7" ht="15" customHeight="1" x14ac:dyDescent="0.25">
      <c r="A6" s="1"/>
      <c r="B6" s="3"/>
      <c r="C6" s="79" t="s">
        <v>4</v>
      </c>
      <c r="D6" s="79"/>
      <c r="E6" s="79"/>
      <c r="F6" s="79"/>
      <c r="G6" s="1"/>
    </row>
    <row r="7" spans="1:7" ht="15" customHeight="1" x14ac:dyDescent="0.25">
      <c r="A7" s="1"/>
      <c r="B7" s="3"/>
      <c r="C7" s="79"/>
      <c r="D7" s="79"/>
      <c r="E7" s="79"/>
      <c r="F7" s="79"/>
      <c r="G7" s="1"/>
    </row>
    <row r="8" spans="1:7" ht="15.75" x14ac:dyDescent="0.25">
      <c r="A8" s="1"/>
      <c r="B8" s="4"/>
      <c r="C8" s="84" t="s">
        <v>196</v>
      </c>
      <c r="D8" s="84"/>
      <c r="E8" s="84"/>
      <c r="F8" s="84"/>
      <c r="G8" s="1"/>
    </row>
    <row r="9" spans="1:7" x14ac:dyDescent="0.25">
      <c r="A9" s="1"/>
      <c r="B9" s="5"/>
      <c r="C9" s="5"/>
      <c r="D9" s="5"/>
      <c r="E9" s="5"/>
      <c r="F9" s="5"/>
      <c r="G9" s="1"/>
    </row>
    <row r="10" spans="1:7" x14ac:dyDescent="0.25">
      <c r="A10" s="1"/>
      <c r="B10" s="5"/>
      <c r="C10" s="5"/>
      <c r="D10" s="5"/>
      <c r="E10" s="5"/>
      <c r="F10" s="5"/>
      <c r="G10" s="1"/>
    </row>
    <row r="11" spans="1:7" x14ac:dyDescent="0.25">
      <c r="A11" s="1"/>
      <c r="B11" s="5"/>
      <c r="C11" s="83" t="s">
        <v>5</v>
      </c>
      <c r="D11" s="83"/>
      <c r="E11" s="83"/>
      <c r="F11" s="83"/>
      <c r="G11" s="1"/>
    </row>
    <row r="12" spans="1:7" x14ac:dyDescent="0.25">
      <c r="A12" s="1"/>
      <c r="B12" s="1"/>
      <c r="C12" s="1"/>
      <c r="D12" s="1"/>
      <c r="E12" s="1"/>
      <c r="F12" s="1"/>
      <c r="G12" s="1"/>
    </row>
    <row r="13" spans="1:7" x14ac:dyDescent="0.25">
      <c r="A13" s="1"/>
      <c r="B13" s="6" t="s">
        <v>6</v>
      </c>
      <c r="C13" s="76" t="s">
        <v>124</v>
      </c>
      <c r="D13" s="77"/>
      <c r="E13" s="77"/>
      <c r="F13" s="78"/>
      <c r="G13" s="1"/>
    </row>
    <row r="14" spans="1:7" x14ac:dyDescent="0.25">
      <c r="A14" s="1"/>
      <c r="B14" s="6" t="s">
        <v>14</v>
      </c>
      <c r="C14" s="76" t="s">
        <v>159</v>
      </c>
      <c r="D14" s="77"/>
      <c r="E14" s="77"/>
      <c r="F14" s="78"/>
      <c r="G14" s="1"/>
    </row>
    <row r="15" spans="1:7" x14ac:dyDescent="0.25">
      <c r="A15" s="1"/>
      <c r="B15" s="6" t="s">
        <v>29</v>
      </c>
      <c r="C15" s="76" t="s">
        <v>107</v>
      </c>
      <c r="D15" s="77"/>
      <c r="E15" s="77"/>
      <c r="F15" s="78"/>
      <c r="G15" s="1"/>
    </row>
    <row r="16" spans="1:7" x14ac:dyDescent="0.25">
      <c r="A16" s="1"/>
      <c r="B16" s="6" t="s">
        <v>30</v>
      </c>
      <c r="C16" s="76" t="s">
        <v>125</v>
      </c>
      <c r="D16" s="77"/>
      <c r="E16" s="77"/>
      <c r="F16" s="78"/>
      <c r="G16" s="1"/>
    </row>
    <row r="17" spans="1:7" x14ac:dyDescent="0.25">
      <c r="A17" s="1"/>
      <c r="B17" s="6" t="s">
        <v>57</v>
      </c>
      <c r="C17" s="76" t="s">
        <v>126</v>
      </c>
      <c r="D17" s="77"/>
      <c r="E17" s="77"/>
      <c r="F17" s="78"/>
      <c r="G17" s="1"/>
    </row>
    <row r="18" spans="1:7" x14ac:dyDescent="0.25">
      <c r="A18" s="1"/>
      <c r="B18" s="6" t="s">
        <v>49</v>
      </c>
      <c r="C18" s="85" t="s">
        <v>42</v>
      </c>
      <c r="D18" s="86"/>
      <c r="E18" s="86"/>
      <c r="F18" s="87"/>
      <c r="G18" s="1"/>
    </row>
    <row r="19" spans="1:7" x14ac:dyDescent="0.25">
      <c r="A19" s="1"/>
      <c r="B19" s="6" t="s">
        <v>50</v>
      </c>
      <c r="C19" s="85" t="s">
        <v>43</v>
      </c>
      <c r="D19" s="86"/>
      <c r="E19" s="86"/>
      <c r="F19" s="87"/>
      <c r="G19" s="1"/>
    </row>
    <row r="20" spans="1:7" x14ac:dyDescent="0.25">
      <c r="A20" s="1"/>
      <c r="B20" s="6" t="s">
        <v>7</v>
      </c>
      <c r="C20" s="85" t="s">
        <v>9</v>
      </c>
      <c r="D20" s="86"/>
      <c r="E20" s="86"/>
      <c r="F20" s="87"/>
      <c r="G20" s="1"/>
    </row>
    <row r="21" spans="1:7" x14ac:dyDescent="0.25">
      <c r="A21" s="1"/>
      <c r="B21" s="6" t="s">
        <v>51</v>
      </c>
      <c r="C21" s="91" t="s">
        <v>11</v>
      </c>
      <c r="D21" s="92"/>
      <c r="E21" s="92"/>
      <c r="F21" s="93"/>
      <c r="G21" s="1"/>
    </row>
    <row r="22" spans="1:7" x14ac:dyDescent="0.25">
      <c r="A22" s="1"/>
      <c r="B22" s="6" t="s">
        <v>37</v>
      </c>
      <c r="C22" s="80" t="s">
        <v>127</v>
      </c>
      <c r="D22" s="81"/>
      <c r="E22" s="81"/>
      <c r="F22" s="82"/>
      <c r="G22" s="1"/>
    </row>
    <row r="23" spans="1:7" x14ac:dyDescent="0.25">
      <c r="A23" s="1"/>
      <c r="B23" s="6" t="s">
        <v>8</v>
      </c>
      <c r="C23" s="80" t="s">
        <v>89</v>
      </c>
      <c r="D23" s="81"/>
      <c r="E23" s="81"/>
      <c r="F23" s="82"/>
      <c r="G23" s="1"/>
    </row>
    <row r="24" spans="1:7" x14ac:dyDescent="0.25">
      <c r="A24" s="1"/>
      <c r="B24" s="6" t="s">
        <v>85</v>
      </c>
      <c r="C24" s="80" t="s">
        <v>78</v>
      </c>
      <c r="D24" s="81"/>
      <c r="E24" s="81"/>
      <c r="F24" s="82"/>
      <c r="G24" s="1"/>
    </row>
    <row r="25" spans="1:7" x14ac:dyDescent="0.25">
      <c r="A25" s="1"/>
      <c r="B25" s="6" t="s">
        <v>86</v>
      </c>
      <c r="C25" s="80" t="s">
        <v>38</v>
      </c>
      <c r="D25" s="81"/>
      <c r="E25" s="81"/>
      <c r="F25" s="82"/>
      <c r="G25" s="1"/>
    </row>
    <row r="26" spans="1:7" x14ac:dyDescent="0.25">
      <c r="A26" s="1"/>
      <c r="B26" s="6" t="s">
        <v>87</v>
      </c>
      <c r="C26" s="80" t="s">
        <v>39</v>
      </c>
      <c r="D26" s="81"/>
      <c r="E26" s="81"/>
      <c r="F26" s="82"/>
      <c r="G26" s="1"/>
    </row>
    <row r="27" spans="1:7" x14ac:dyDescent="0.25">
      <c r="A27" s="1"/>
      <c r="B27" s="6" t="s">
        <v>52</v>
      </c>
      <c r="C27" s="80" t="s">
        <v>58</v>
      </c>
      <c r="D27" s="81"/>
      <c r="E27" s="81"/>
      <c r="F27" s="82"/>
      <c r="G27" s="1"/>
    </row>
    <row r="28" spans="1:7" x14ac:dyDescent="0.25">
      <c r="A28" s="1"/>
      <c r="B28" s="6" t="s">
        <v>46</v>
      </c>
      <c r="C28" s="80" t="s">
        <v>31</v>
      </c>
      <c r="D28" s="81"/>
      <c r="E28" s="81"/>
      <c r="F28" s="82"/>
      <c r="G28" s="1"/>
    </row>
    <row r="29" spans="1:7" x14ac:dyDescent="0.25">
      <c r="A29" s="1"/>
      <c r="B29" s="6" t="s">
        <v>88</v>
      </c>
      <c r="C29" s="88" t="s">
        <v>47</v>
      </c>
      <c r="D29" s="89"/>
      <c r="E29" s="89"/>
      <c r="F29" s="90"/>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row r="51" spans="1:7" hidden="1" x14ac:dyDescent="0.25">
      <c r="A51" s="40"/>
      <c r="B51" s="40"/>
      <c r="C51" s="40"/>
      <c r="D51" s="40"/>
      <c r="E51" s="40"/>
      <c r="F51" s="40"/>
      <c r="G51" s="40"/>
    </row>
  </sheetData>
  <sheetProtection algorithmName="SHA-512" hashValue="u2gCjeCnZXPWX9kzPh3y7Vi8ojnZ4KOk3aykV+vzWaiZFdfcUX7gW7F2NqIbhnIw8O6AAqeb3oM2RMiXoPcAWg==" saltValue="wneigvIOYSv+q5jdEJAgww==" spinCount="100000" sheet="1" objects="1" scenarios="1"/>
  <mergeCells count="20">
    <mergeCell ref="C28:F28"/>
    <mergeCell ref="C29:F29"/>
    <mergeCell ref="C21:F21"/>
    <mergeCell ref="C24:F24"/>
    <mergeCell ref="C25:F25"/>
    <mergeCell ref="C27:F27"/>
    <mergeCell ref="C26:F26"/>
    <mergeCell ref="C23:F23"/>
    <mergeCell ref="C14:F14"/>
    <mergeCell ref="C6:F7"/>
    <mergeCell ref="C22:F22"/>
    <mergeCell ref="C11:F11"/>
    <mergeCell ref="C8:F8"/>
    <mergeCell ref="C15:F15"/>
    <mergeCell ref="C16:F16"/>
    <mergeCell ref="C13:F13"/>
    <mergeCell ref="C17:F17"/>
    <mergeCell ref="C18:F18"/>
    <mergeCell ref="C19:F19"/>
    <mergeCell ref="C20:F20"/>
  </mergeCells>
  <hyperlinks>
    <hyperlink ref="C14:F14" location="'Fane 2.2. Økonomisk ramme 2026'!A1" display="Samlet økonomisk ramme for 2026" xr:uid="{00000000-0004-0000-0000-000000000000}"/>
    <hyperlink ref="C25:F25" location="'Fane 10.1. Varige tillæg'!A1" display="Varige tillæg" xr:uid="{00000000-0004-0000-0000-000001000000}"/>
    <hyperlink ref="C27:F27" location="'Fane 11. Tilknyttet virksomhed'!A1" display="Tilknyttet virksomhed" xr:uid="{00000000-0004-0000-0000-000002000000}"/>
    <hyperlink ref="C28:F28" location="'Fane 12. Bortfald'!A1" display="Bortfald" xr:uid="{00000000-0004-0000-0000-000003000000}"/>
    <hyperlink ref="C13:F13" location="'Fane 2.1. Økonomisk ramme 2025'!A1" display="Samlet økonomisk ramme for 2025" xr:uid="{00000000-0004-0000-0000-000004000000}"/>
    <hyperlink ref="C16:F16" location="'Fane 2.4. Økonomisk ramme 2028'!A1" display="Vejledende økonomisk ramme for 2028" xr:uid="{00000000-0004-0000-0000-000005000000}"/>
    <hyperlink ref="C15:F15" location="'Fane 2.3. Økonomisk ramme 2027'!A1" display="Vejledende økonomisk ramme for 2027" xr:uid="{00000000-0004-0000-0000-000006000000}"/>
    <hyperlink ref="C21:F21" location="'Fane 6. Ikke-påvirkelige omk.'!A1" display="Ikke-påvirkelige omkostninger" xr:uid="{00000000-0004-0000-0000-000007000000}"/>
    <hyperlink ref="C22:F22" location="'Fane 7. Kontrol af ØR2023'!A1" display="Kontrol af den økonomiske ramme for 2023" xr:uid="{00000000-0004-0000-0000-000008000000}"/>
    <hyperlink ref="C24:F24" location="'Fane 9. Anlægsprojekter (§ 19) '!A1" display="Anlægsprojekter (§ 19) " xr:uid="{00000000-0004-0000-0000-000009000000}"/>
    <hyperlink ref="C29:F29" location="'Fane 13. Nøgletal'!A1" display="Nøgletal" xr:uid="{00000000-0004-0000-0000-00000A000000}"/>
    <hyperlink ref="C17:F17" location="'Fane 3. Omkostninger i ØR2024'!A1" display="Omkostninger i ØR2024" xr:uid="{00000000-0004-0000-0000-00000B000000}"/>
    <hyperlink ref="C26:F26" location="'Fane 10.2. Engangstillæg'!A1" display="Engangstillæg" xr:uid="{00000000-0004-0000-0000-00000C000000}"/>
    <hyperlink ref="C19:F19" location="'Fane 4.2. Gen. krav - anlæg'!A1" display="Generelt effektiviseringskrav på anlæg" xr:uid="{00000000-0004-0000-0000-00000D000000}"/>
    <hyperlink ref="C18:F18" location="'Fane 4.1. Gen. krav - drift'!A1" display="Generelt effektiviseringskrav på drift" xr:uid="{00000000-0004-0000-0000-00000E000000}"/>
    <hyperlink ref="C20:F20" location="'Fane 5. Individuelt eff. krav'!A1" display="Individuelt effektiviseringskrav" xr:uid="{00000000-0004-0000-0000-00000F000000}"/>
    <hyperlink ref="C23:F23" location="'Fane 8. Skattesagen'!A1" display="Skattesagen" xr:uid="{00000000-0004-0000-0000-000010000000}"/>
  </hyperlinks>
  <pageMargins left="0.70866141732283472" right="0.70866141732283472" top="0.74803149606299213" bottom="0.74803149606299213"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5"/>
  <dimension ref="A1:E56"/>
  <sheetViews>
    <sheetView showGridLines="0" zoomScaleNormal="100" workbookViewId="0"/>
  </sheetViews>
  <sheetFormatPr defaultColWidth="0" defaultRowHeight="15" zeroHeight="1" x14ac:dyDescent="0.25"/>
  <cols>
    <col min="1" max="1" width="5.28515625" style="2" customWidth="1"/>
    <col min="2" max="2" width="58.28515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94" t="s">
        <v>55</v>
      </c>
      <c r="C3" s="94"/>
      <c r="D3" s="94"/>
      <c r="E3" s="1"/>
    </row>
    <row r="4" spans="1:5" ht="15" customHeight="1" x14ac:dyDescent="0.25">
      <c r="A4" s="1"/>
      <c r="B4" s="94"/>
      <c r="C4" s="94"/>
      <c r="D4" s="94"/>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98" t="s">
        <v>142</v>
      </c>
      <c r="C8" s="99"/>
      <c r="D8" s="100"/>
      <c r="E8" s="1"/>
    </row>
    <row r="9" spans="1:5" ht="15" customHeight="1" x14ac:dyDescent="0.25">
      <c r="A9" s="1"/>
      <c r="B9" s="51" t="s">
        <v>27</v>
      </c>
      <c r="C9" s="45" t="s">
        <v>145</v>
      </c>
      <c r="D9" s="11"/>
      <c r="E9" s="1"/>
    </row>
    <row r="10" spans="1:5" ht="15" customHeight="1" x14ac:dyDescent="0.25">
      <c r="A10" s="1"/>
      <c r="B10" s="64" t="s">
        <v>197</v>
      </c>
      <c r="C10" s="65">
        <v>5130964</v>
      </c>
      <c r="D10" s="14" t="s">
        <v>3</v>
      </c>
      <c r="E10" s="1"/>
    </row>
    <row r="11" spans="1:5" x14ac:dyDescent="0.25">
      <c r="A11" s="1"/>
      <c r="B11" s="64" t="s">
        <v>198</v>
      </c>
      <c r="C11" s="65">
        <v>56719</v>
      </c>
      <c r="D11" s="14" t="s">
        <v>3</v>
      </c>
      <c r="E11" s="1"/>
    </row>
    <row r="12" spans="1:5" x14ac:dyDescent="0.25">
      <c r="A12" s="1"/>
      <c r="B12" s="64" t="s">
        <v>199</v>
      </c>
      <c r="C12" s="65">
        <v>4379</v>
      </c>
      <c r="D12" s="14" t="s">
        <v>3</v>
      </c>
      <c r="E12" s="1"/>
    </row>
    <row r="13" spans="1:5" x14ac:dyDescent="0.25">
      <c r="A13" s="1"/>
      <c r="B13" s="64" t="s">
        <v>200</v>
      </c>
      <c r="C13" s="65">
        <v>4006</v>
      </c>
      <c r="D13" s="14" t="s">
        <v>3</v>
      </c>
      <c r="E13" s="1"/>
    </row>
    <row r="14" spans="1:5" x14ac:dyDescent="0.25">
      <c r="A14" s="1"/>
      <c r="B14" s="64" t="s">
        <v>208</v>
      </c>
      <c r="C14" s="65">
        <v>1689736</v>
      </c>
      <c r="D14" s="14" t="s">
        <v>3</v>
      </c>
      <c r="E14" s="1"/>
    </row>
    <row r="15" spans="1:5" x14ac:dyDescent="0.25">
      <c r="A15" s="1"/>
      <c r="B15" s="64"/>
      <c r="C15" s="65"/>
      <c r="D15" s="14" t="s">
        <v>3</v>
      </c>
      <c r="E15" s="1"/>
    </row>
    <row r="16" spans="1:5" x14ac:dyDescent="0.25">
      <c r="A16" s="1"/>
      <c r="B16" s="64"/>
      <c r="C16" s="65"/>
      <c r="D16" s="14" t="s">
        <v>3</v>
      </c>
      <c r="E16" s="1"/>
    </row>
    <row r="17" spans="1:5" x14ac:dyDescent="0.25">
      <c r="A17" s="1"/>
      <c r="B17" s="64"/>
      <c r="C17" s="65"/>
      <c r="D17" s="14" t="s">
        <v>3</v>
      </c>
      <c r="E17" s="1"/>
    </row>
    <row r="18" spans="1:5" x14ac:dyDescent="0.25">
      <c r="A18" s="1"/>
      <c r="B18" s="64"/>
      <c r="C18" s="65"/>
      <c r="D18" s="14" t="s">
        <v>3</v>
      </c>
      <c r="E18" s="1"/>
    </row>
    <row r="19" spans="1:5" x14ac:dyDescent="0.25">
      <c r="A19" s="1"/>
      <c r="B19" s="52" t="s">
        <v>143</v>
      </c>
      <c r="C19" s="12">
        <f>SUM(C10:C18)</f>
        <v>6885804</v>
      </c>
      <c r="D19" s="13" t="s">
        <v>3</v>
      </c>
      <c r="E19" s="1"/>
    </row>
    <row r="20" spans="1:5" x14ac:dyDescent="0.25">
      <c r="A20" s="1"/>
      <c r="B20" s="52" t="s">
        <v>144</v>
      </c>
      <c r="C20" s="12">
        <f>C19*(1+'Fane 13. Nøgletal'!C11)^2</f>
        <v>7829129.4701847602</v>
      </c>
      <c r="D20" s="13" t="s">
        <v>3</v>
      </c>
      <c r="E20" s="1"/>
    </row>
    <row r="21" spans="1:5" x14ac:dyDescent="0.25">
      <c r="A21" s="1"/>
      <c r="B21" s="16"/>
      <c r="C21" s="15"/>
      <c r="D21" s="15"/>
      <c r="E21" s="1"/>
    </row>
    <row r="22" spans="1:5" x14ac:dyDescent="0.25">
      <c r="A22" s="1"/>
      <c r="B22" s="16"/>
      <c r="C22" s="15"/>
      <c r="D22" s="15"/>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row r="51" spans="1:5" hidden="1" x14ac:dyDescent="0.25">
      <c r="A51" s="40"/>
      <c r="B51" s="40"/>
      <c r="C51" s="40"/>
      <c r="D51" s="40"/>
      <c r="E51" s="40"/>
    </row>
    <row r="52" spans="1:5" hidden="1" x14ac:dyDescent="0.25">
      <c r="A52" s="40"/>
      <c r="B52" s="40"/>
      <c r="C52" s="40"/>
      <c r="D52" s="40"/>
      <c r="E52" s="40"/>
    </row>
    <row r="53" spans="1:5" hidden="1" x14ac:dyDescent="0.25">
      <c r="A53" s="40"/>
      <c r="B53" s="40"/>
      <c r="C53" s="40"/>
      <c r="D53" s="40"/>
      <c r="E53" s="40"/>
    </row>
    <row r="54" spans="1:5" hidden="1" x14ac:dyDescent="0.25">
      <c r="A54" s="40"/>
      <c r="B54" s="40"/>
      <c r="C54" s="40"/>
      <c r="D54" s="40"/>
      <c r="E54" s="40"/>
    </row>
    <row r="55" spans="1:5" hidden="1" x14ac:dyDescent="0.25">
      <c r="A55" s="40"/>
      <c r="B55" s="40"/>
      <c r="C55" s="40"/>
      <c r="D55" s="40"/>
      <c r="E55" s="40"/>
    </row>
    <row r="56" spans="1:5" hidden="1" x14ac:dyDescent="0.25">
      <c r="A56" s="40"/>
      <c r="B56" s="40"/>
      <c r="C56" s="40"/>
      <c r="D56" s="40"/>
      <c r="E56" s="40"/>
    </row>
  </sheetData>
  <sheetProtection algorithmName="SHA-512" hashValue="7PbrC9NJV3giGzSZjjdYxfmHN02WQhMjX6Q3d7thFsGouMrznhsHXA6NNoiNKTCaCgC1fR9i1ICnJjabqZsy0Q==" saltValue="seLyojceOSXQxFXHAjeGdg==" spinCount="100000" sheet="1" objects="1" scenarios="1"/>
  <mergeCells count="2">
    <mergeCell ref="B3:D4"/>
    <mergeCell ref="B8:D8"/>
  </mergeCells>
  <pageMargins left="0.70866141732283461" right="0.70866141732283461" top="0.74803149606299213" bottom="0.74803149606299213" header="0.31496062992125984" footer="0.31496062992125984"/>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Ark9"/>
  <dimension ref="A1:E51"/>
  <sheetViews>
    <sheetView showGridLines="0" zoomScaleNormal="100" workbookViewId="0"/>
  </sheetViews>
  <sheetFormatPr defaultColWidth="0" defaultRowHeight="15" zeroHeight="1" x14ac:dyDescent="0.25"/>
  <cols>
    <col min="1" max="1" width="5.28515625" style="2" customWidth="1"/>
    <col min="2" max="2" width="56.28515625" style="2" customWidth="1"/>
    <col min="3" max="3" width="11.710937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96" t="s">
        <v>172</v>
      </c>
      <c r="C3" s="96"/>
      <c r="D3" s="96"/>
      <c r="E3" s="1"/>
    </row>
    <row r="4" spans="1:5" ht="15" customHeight="1" x14ac:dyDescent="0.25">
      <c r="A4" s="1"/>
      <c r="B4" s="96"/>
      <c r="C4" s="96"/>
      <c r="D4" s="96"/>
      <c r="E4" s="1"/>
    </row>
    <row r="5" spans="1:5" ht="15" customHeight="1" x14ac:dyDescent="0.25">
      <c r="A5" s="1"/>
      <c r="B5" s="96"/>
      <c r="C5" s="96"/>
      <c r="D5" s="96"/>
      <c r="E5" s="1"/>
    </row>
    <row r="6" spans="1:5" ht="15" customHeight="1" x14ac:dyDescent="0.25">
      <c r="A6" s="1"/>
      <c r="B6" s="68"/>
      <c r="C6" s="68"/>
      <c r="D6" s="68"/>
      <c r="E6" s="1"/>
    </row>
    <row r="7" spans="1:5" x14ac:dyDescent="0.25">
      <c r="A7" s="1"/>
      <c r="B7" s="1"/>
      <c r="C7" s="1"/>
      <c r="D7" s="1"/>
      <c r="E7" s="1"/>
    </row>
    <row r="8" spans="1:5" x14ac:dyDescent="0.25">
      <c r="A8" s="1"/>
      <c r="B8" s="98" t="s">
        <v>175</v>
      </c>
      <c r="C8" s="99"/>
      <c r="D8" s="100"/>
      <c r="E8" s="1"/>
    </row>
    <row r="9" spans="1:5" x14ac:dyDescent="0.25">
      <c r="A9" s="1"/>
      <c r="B9" s="56" t="s">
        <v>176</v>
      </c>
      <c r="C9" s="9">
        <v>973550.74200466648</v>
      </c>
      <c r="D9" s="39" t="s">
        <v>3</v>
      </c>
      <c r="E9" s="1"/>
    </row>
    <row r="10" spans="1:5" x14ac:dyDescent="0.25">
      <c r="A10" s="1"/>
      <c r="B10" s="56" t="s">
        <v>174</v>
      </c>
      <c r="C10" s="9">
        <v>172619.84790288284</v>
      </c>
      <c r="D10" s="14" t="s">
        <v>3</v>
      </c>
      <c r="E10" s="1"/>
    </row>
    <row r="11" spans="1:5" x14ac:dyDescent="0.25">
      <c r="A11" s="1"/>
      <c r="B11" s="52"/>
      <c r="C11" s="53"/>
      <c r="D11" s="19"/>
      <c r="E11" s="1"/>
    </row>
    <row r="12" spans="1:5" ht="53.85" customHeight="1" x14ac:dyDescent="0.25">
      <c r="A12" s="1"/>
      <c r="B12" s="107" t="s">
        <v>173</v>
      </c>
      <c r="C12" s="108"/>
      <c r="D12" s="109"/>
      <c r="E12" s="1"/>
    </row>
    <row r="13" spans="1:5" x14ac:dyDescent="0.25">
      <c r="A13" s="1"/>
      <c r="B13" s="1"/>
      <c r="C13" s="1"/>
      <c r="D13" s="1"/>
      <c r="E13" s="1"/>
    </row>
    <row r="14" spans="1:5" x14ac:dyDescent="0.25">
      <c r="A14" s="1"/>
      <c r="B14" s="69" t="s">
        <v>177</v>
      </c>
      <c r="C14" s="70"/>
      <c r="D14" s="71"/>
      <c r="E14" s="1"/>
    </row>
    <row r="15" spans="1:5" x14ac:dyDescent="0.25">
      <c r="A15" s="1"/>
      <c r="B15" s="56" t="s">
        <v>178</v>
      </c>
      <c r="C15" s="9">
        <f>IF(C10&lt;0,C10,0)</f>
        <v>0</v>
      </c>
      <c r="D15" s="14" t="s">
        <v>3</v>
      </c>
      <c r="E15" s="1"/>
    </row>
    <row r="16" spans="1:5" x14ac:dyDescent="0.25">
      <c r="A16" s="1"/>
      <c r="B16" s="56" t="s">
        <v>185</v>
      </c>
      <c r="C16" s="9">
        <f>IF(SUM(C9)&gt;0,SUM(C9),0)</f>
        <v>973550.74200466648</v>
      </c>
      <c r="D16" s="14" t="s">
        <v>3</v>
      </c>
      <c r="E16" s="1"/>
    </row>
    <row r="17" spans="1:5" ht="26.25" x14ac:dyDescent="0.25">
      <c r="A17" s="1"/>
      <c r="B17" s="72" t="s">
        <v>179</v>
      </c>
      <c r="C17" s="62">
        <f>IF(SUM(C15:C16)&gt;0,0,SUM(C15:C16))</f>
        <v>0</v>
      </c>
      <c r="D17" s="17" t="s">
        <v>3</v>
      </c>
      <c r="E17" s="1"/>
    </row>
    <row r="18" spans="1:5" x14ac:dyDescent="0.25">
      <c r="A18" s="1"/>
      <c r="B18" s="52"/>
      <c r="C18" s="53"/>
      <c r="D18" s="19"/>
      <c r="E18" s="1"/>
    </row>
    <row r="19" spans="1:5" x14ac:dyDescent="0.25">
      <c r="A19" s="1"/>
      <c r="B19" s="1"/>
      <c r="C19" s="1"/>
      <c r="D19" s="1"/>
      <c r="E19" s="1"/>
    </row>
    <row r="20" spans="1:5" x14ac:dyDescent="0.25">
      <c r="A20" s="1"/>
      <c r="B20" s="69" t="s">
        <v>180</v>
      </c>
      <c r="C20" s="70"/>
      <c r="D20" s="71"/>
      <c r="E20" s="1"/>
    </row>
    <row r="21" spans="1:5" x14ac:dyDescent="0.25">
      <c r="A21" s="1"/>
      <c r="B21" s="56" t="s">
        <v>181</v>
      </c>
      <c r="C21" s="9">
        <v>18477614.174985882</v>
      </c>
      <c r="D21" s="14" t="s">
        <v>3</v>
      </c>
      <c r="E21" s="1"/>
    </row>
    <row r="22" spans="1:5" x14ac:dyDescent="0.25">
      <c r="A22" s="1"/>
      <c r="B22" s="56" t="s">
        <v>182</v>
      </c>
      <c r="C22" s="9">
        <v>18934233.059999999</v>
      </c>
      <c r="D22" s="14" t="s">
        <v>3</v>
      </c>
      <c r="E22" s="1"/>
    </row>
    <row r="23" spans="1:5" x14ac:dyDescent="0.25">
      <c r="A23" s="1"/>
      <c r="B23" s="56" t="s">
        <v>28</v>
      </c>
      <c r="C23" s="9">
        <v>0</v>
      </c>
      <c r="D23" s="14" t="s">
        <v>3</v>
      </c>
      <c r="E23" s="1"/>
    </row>
    <row r="24" spans="1:5" x14ac:dyDescent="0.25">
      <c r="A24" s="1"/>
      <c r="B24" s="74" t="s">
        <v>183</v>
      </c>
      <c r="C24" s="46">
        <f>C21-C22-C23</f>
        <v>-456618.88501411676</v>
      </c>
      <c r="D24" s="17" t="s">
        <v>3</v>
      </c>
      <c r="E24" s="1"/>
    </row>
    <row r="25" spans="1:5" x14ac:dyDescent="0.25">
      <c r="A25" s="1"/>
      <c r="B25" s="52"/>
      <c r="C25" s="53"/>
      <c r="D25" s="19"/>
      <c r="E25" s="1"/>
    </row>
    <row r="26" spans="1:5" x14ac:dyDescent="0.25">
      <c r="A26" s="1"/>
      <c r="B26" s="1"/>
      <c r="C26" s="1"/>
      <c r="D26" s="1"/>
      <c r="E26" s="1"/>
    </row>
    <row r="27" spans="1:5" x14ac:dyDescent="0.25">
      <c r="A27" s="1"/>
      <c r="B27" s="98" t="s">
        <v>184</v>
      </c>
      <c r="C27" s="99"/>
      <c r="D27" s="100"/>
      <c r="E27" s="1"/>
    </row>
    <row r="28" spans="1:5" x14ac:dyDescent="0.25">
      <c r="A28" s="1"/>
      <c r="B28" s="57" t="s">
        <v>65</v>
      </c>
      <c r="C28" s="9">
        <f>IF(C17&lt;0,IF(C24&lt;0,SUM(C17,C24),IF(C9&gt;0,SUM(C9:C10),C17)),IF(AND(C24&lt;0,SUM(C24,C10)&lt;0),IF(C10&lt;0,C24,IF(SUM(C9:C10)&gt;0,SUM(C24,C10),IF(AND(C24&lt;0,C17=0,C10&gt;0),IF(SUM(C9:C10)&gt;0,C24+C10,C24)))),IF(AND(SUM(C9:C10)&lt;0,C17=0,C24&lt;0),C24,0)))</f>
        <v>-283999.03711123392</v>
      </c>
      <c r="D28" s="14" t="s">
        <v>3</v>
      </c>
      <c r="E28" s="1"/>
    </row>
    <row r="29" spans="1:5" x14ac:dyDescent="0.25">
      <c r="A29" s="1"/>
      <c r="B29" s="57" t="s">
        <v>48</v>
      </c>
      <c r="C29" s="9">
        <v>2</v>
      </c>
      <c r="D29" s="14" t="s">
        <v>18</v>
      </c>
      <c r="E29" s="1"/>
    </row>
    <row r="30" spans="1:5" x14ac:dyDescent="0.25">
      <c r="A30" s="1"/>
      <c r="B30" s="58" t="s">
        <v>64</v>
      </c>
      <c r="C30" s="10">
        <f>C28/C29</f>
        <v>-141999.51855561696</v>
      </c>
      <c r="D30" s="17" t="s">
        <v>3</v>
      </c>
      <c r="E30" s="1"/>
    </row>
    <row r="31" spans="1:5" x14ac:dyDescent="0.25">
      <c r="A31" s="1"/>
      <c r="B31" s="110"/>
      <c r="C31" s="111"/>
      <c r="D31" s="112"/>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hidden="1" x14ac:dyDescent="0.25">
      <c r="A48" s="40"/>
      <c r="B48" s="40"/>
      <c r="C48" s="40"/>
      <c r="D48" s="40"/>
      <c r="E48" s="40"/>
    </row>
    <row r="49" spans="1:5" hidden="1" x14ac:dyDescent="0.25">
      <c r="A49" s="40"/>
      <c r="B49" s="40"/>
      <c r="C49" s="40"/>
      <c r="D49" s="40"/>
      <c r="E49" s="40"/>
    </row>
    <row r="50" spans="1:5" hidden="1" x14ac:dyDescent="0.25">
      <c r="A50" s="40"/>
      <c r="B50" s="40"/>
      <c r="C50" s="40"/>
      <c r="D50" s="40"/>
      <c r="E50" s="40"/>
    </row>
    <row r="51" spans="1:5" hidden="1" x14ac:dyDescent="0.25">
      <c r="A51" s="40"/>
      <c r="E51" s="40"/>
    </row>
  </sheetData>
  <sheetProtection algorithmName="SHA-512" hashValue="YQRBk1ZpuIS3RlKp8HDNnkylHh2T4j+sFmHkIARCHSNZGGh60nvu8XQMOfuBMaM938gfxy5+iHX2qNIHD0SPRg==" saltValue="L89264h7AiwEYJYg+YqKIg==" spinCount="100000" sheet="1" objects="1" scenarios="1"/>
  <mergeCells count="5">
    <mergeCell ref="B12:D12"/>
    <mergeCell ref="B8:D8"/>
    <mergeCell ref="B3:D5"/>
    <mergeCell ref="B31:D31"/>
    <mergeCell ref="B27:D27"/>
  </mergeCells>
  <pageMargins left="0.79166666666666663"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13"/>
  <dimension ref="A1:E50"/>
  <sheetViews>
    <sheetView zoomScaleNormal="100" workbookViewId="0"/>
  </sheetViews>
  <sheetFormatPr defaultColWidth="0" defaultRowHeight="15" zeroHeight="1" x14ac:dyDescent="0.25"/>
  <cols>
    <col min="1" max="1" width="5.28515625" style="30" customWidth="1"/>
    <col min="2" max="2" width="57.140625" style="30" customWidth="1"/>
    <col min="3" max="3" width="12.5703125" style="30" customWidth="1"/>
    <col min="4" max="4" width="3.140625" style="30" customWidth="1"/>
    <col min="5" max="5" width="5.28515625" style="30" customWidth="1"/>
    <col min="6" max="16384" width="9.140625" style="30" hidden="1"/>
  </cols>
  <sheetData>
    <row r="1" spans="1:5" x14ac:dyDescent="0.25">
      <c r="A1" s="1"/>
      <c r="B1" s="1"/>
      <c r="C1" s="1"/>
      <c r="D1" s="1"/>
      <c r="E1" s="1"/>
    </row>
    <row r="2" spans="1:5" x14ac:dyDescent="0.25">
      <c r="A2" s="1"/>
      <c r="B2" s="1"/>
      <c r="C2" s="1"/>
      <c r="D2" s="1"/>
      <c r="E2" s="1"/>
    </row>
    <row r="3" spans="1:5" ht="15" customHeight="1" x14ac:dyDescent="0.25">
      <c r="A3" s="1"/>
      <c r="B3" s="96" t="s">
        <v>96</v>
      </c>
      <c r="C3" s="96"/>
      <c r="D3" s="96"/>
      <c r="E3" s="1"/>
    </row>
    <row r="4" spans="1:5" ht="15" customHeight="1" x14ac:dyDescent="0.25">
      <c r="A4" s="1"/>
      <c r="B4" s="96"/>
      <c r="C4" s="96"/>
      <c r="D4" s="96"/>
      <c r="E4" s="1"/>
    </row>
    <row r="5" spans="1:5" x14ac:dyDescent="0.25">
      <c r="A5" s="1"/>
      <c r="B5" s="96"/>
      <c r="C5" s="96"/>
      <c r="D5" s="96"/>
      <c r="E5" s="1"/>
    </row>
    <row r="6" spans="1:5" x14ac:dyDescent="0.25">
      <c r="A6" s="1"/>
      <c r="B6" s="1"/>
      <c r="C6" s="1"/>
      <c r="D6" s="1"/>
      <c r="E6" s="1"/>
    </row>
    <row r="7" spans="1:5" x14ac:dyDescent="0.25">
      <c r="A7" s="1"/>
      <c r="B7" s="1"/>
      <c r="C7" s="1"/>
      <c r="D7" s="1"/>
      <c r="E7" s="1"/>
    </row>
    <row r="8" spans="1:5" x14ac:dyDescent="0.25">
      <c r="A8" s="1"/>
      <c r="B8" s="98" t="s">
        <v>97</v>
      </c>
      <c r="C8" s="99"/>
      <c r="D8" s="100"/>
      <c r="E8" s="1"/>
    </row>
    <row r="9" spans="1:5" ht="15" customHeight="1" x14ac:dyDescent="0.25">
      <c r="A9" s="1"/>
      <c r="B9" s="113" t="s">
        <v>123</v>
      </c>
      <c r="C9" s="114"/>
      <c r="D9" s="115"/>
      <c r="E9" s="1"/>
    </row>
    <row r="10" spans="1:5" x14ac:dyDescent="0.25">
      <c r="A10" s="1"/>
      <c r="B10" s="59" t="s">
        <v>98</v>
      </c>
      <c r="C10" s="41"/>
      <c r="D10" s="9" t="s">
        <v>3</v>
      </c>
      <c r="E10" s="1"/>
    </row>
    <row r="11" spans="1:5" x14ac:dyDescent="0.25">
      <c r="A11" s="1"/>
      <c r="B11" s="59" t="s">
        <v>99</v>
      </c>
      <c r="C11" s="41"/>
      <c r="D11" s="9" t="s">
        <v>3</v>
      </c>
      <c r="E11" s="1"/>
    </row>
    <row r="12" spans="1:5" x14ac:dyDescent="0.25">
      <c r="A12" s="1"/>
      <c r="B12" s="59" t="s">
        <v>100</v>
      </c>
      <c r="C12" s="9"/>
      <c r="D12" s="9" t="s">
        <v>3</v>
      </c>
      <c r="E12" s="1"/>
    </row>
    <row r="13" spans="1:5" x14ac:dyDescent="0.25">
      <c r="A13" s="1"/>
      <c r="B13" s="59" t="s">
        <v>101</v>
      </c>
      <c r="C13" s="9"/>
      <c r="D13" s="9" t="s">
        <v>3</v>
      </c>
      <c r="E13" s="1"/>
    </row>
    <row r="14" spans="1:5" x14ac:dyDescent="0.25">
      <c r="A14" s="1"/>
      <c r="B14" s="59" t="s">
        <v>102</v>
      </c>
      <c r="C14" s="9"/>
      <c r="D14" s="9" t="s">
        <v>3</v>
      </c>
      <c r="E14" s="1"/>
    </row>
    <row r="15" spans="1:5" x14ac:dyDescent="0.25">
      <c r="A15" s="1"/>
      <c r="B15" s="59" t="s">
        <v>103</v>
      </c>
      <c r="C15" s="9"/>
      <c r="D15" s="9" t="s">
        <v>3</v>
      </c>
      <c r="E15" s="1"/>
    </row>
    <row r="16" spans="1:5" x14ac:dyDescent="0.25">
      <c r="A16" s="1"/>
      <c r="B16" s="59" t="s">
        <v>104</v>
      </c>
      <c r="C16" s="9"/>
      <c r="D16" s="9" t="s">
        <v>3</v>
      </c>
      <c r="E16" s="1"/>
    </row>
    <row r="17" spans="1:5" x14ac:dyDescent="0.25">
      <c r="A17" s="1"/>
      <c r="B17" s="59" t="s">
        <v>105</v>
      </c>
      <c r="C17" s="9"/>
      <c r="D17" s="9" t="s">
        <v>3</v>
      </c>
      <c r="E17" s="1"/>
    </row>
    <row r="18" spans="1:5" x14ac:dyDescent="0.25">
      <c r="A18" s="1"/>
      <c r="B18" s="69" t="s">
        <v>106</v>
      </c>
      <c r="C18" s="12">
        <f>SUM(C10:C17)</f>
        <v>0</v>
      </c>
      <c r="D18" s="13" t="s">
        <v>3</v>
      </c>
      <c r="E18" s="1"/>
    </row>
    <row r="19" spans="1:5" x14ac:dyDescent="0.25">
      <c r="A19" s="1"/>
      <c r="B19" s="1"/>
      <c r="C19" s="1"/>
      <c r="D19" s="1"/>
      <c r="E19" s="1"/>
    </row>
    <row r="20" spans="1:5" x14ac:dyDescent="0.25">
      <c r="A20" s="1"/>
      <c r="B20" s="1"/>
      <c r="C20" s="1"/>
      <c r="D20" s="1"/>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z9EQmqfbxallU03mLwo18hnsC9A6wszRPdELYMDqzXbtJbv4Pbdw8m5NgBzDuUJ3RTX0RIkpVdBcHKTkYk5FCg==" saltValue="yYWrYhXSag10P0D/1AHtpg==" spinCount="100000" sheet="1" objects="1" scenarios="1"/>
  <mergeCells count="3">
    <mergeCell ref="B8:D8"/>
    <mergeCell ref="B9:D9"/>
    <mergeCell ref="B3:D5"/>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10"/>
  <dimension ref="A1:L52"/>
  <sheetViews>
    <sheetView showGridLines="0" zoomScaleNormal="100" workbookViewId="0"/>
  </sheetViews>
  <sheetFormatPr defaultColWidth="0" defaultRowHeight="15" zeroHeight="1" x14ac:dyDescent="0.25"/>
  <cols>
    <col min="1" max="1" width="5.28515625" style="2" customWidth="1"/>
    <col min="2" max="2" width="23.7109375" style="2" customWidth="1"/>
    <col min="3" max="3" width="7.7109375" style="2" customWidth="1"/>
    <col min="4" max="4" width="9.7109375" style="2" customWidth="1"/>
    <col min="5" max="5" width="3.28515625" style="2" customWidth="1"/>
    <col min="6" max="6" width="9.7109375" style="2" customWidth="1"/>
    <col min="7" max="7" width="3.28515625" style="2" customWidth="1"/>
    <col min="8" max="8" width="9.7109375" style="2" customWidth="1"/>
    <col min="9" max="9" width="3.28515625" style="2" customWidth="1"/>
    <col min="10" max="10" width="9.7109375" style="2" customWidth="1"/>
    <col min="11" max="11" width="3.28515625" style="2" customWidth="1"/>
    <col min="12" max="12" width="5.28515625" style="2" customWidth="1"/>
    <col min="13" max="16384" width="9.140625" style="2" hidden="1"/>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94" t="s">
        <v>90</v>
      </c>
      <c r="C3" s="94"/>
      <c r="D3" s="94"/>
      <c r="E3" s="94"/>
      <c r="F3" s="94"/>
      <c r="G3" s="94"/>
      <c r="H3" s="94"/>
      <c r="I3" s="94"/>
      <c r="J3" s="94"/>
      <c r="K3" s="94"/>
      <c r="L3" s="1"/>
    </row>
    <row r="4" spans="1:12" ht="15" customHeight="1" x14ac:dyDescent="0.25">
      <c r="A4" s="1"/>
      <c r="B4" s="94"/>
      <c r="C4" s="94"/>
      <c r="D4" s="94"/>
      <c r="E4" s="94"/>
      <c r="F4" s="94"/>
      <c r="G4" s="94"/>
      <c r="H4" s="94"/>
      <c r="I4" s="94"/>
      <c r="J4" s="94"/>
      <c r="K4" s="94"/>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98" t="s">
        <v>74</v>
      </c>
      <c r="C8" s="99"/>
      <c r="D8" s="99"/>
      <c r="E8" s="99"/>
      <c r="F8" s="99"/>
      <c r="G8" s="99"/>
      <c r="H8" s="99"/>
      <c r="I8" s="99"/>
      <c r="J8" s="99"/>
      <c r="K8" s="100"/>
      <c r="L8" s="1"/>
    </row>
    <row r="9" spans="1:12" ht="39.75" customHeight="1" x14ac:dyDescent="0.25">
      <c r="A9" s="1"/>
      <c r="B9" s="18" t="s">
        <v>0</v>
      </c>
      <c r="C9" s="18" t="s">
        <v>1</v>
      </c>
      <c r="D9" s="116" t="s">
        <v>83</v>
      </c>
      <c r="E9" s="117"/>
      <c r="F9" s="116" t="s">
        <v>2</v>
      </c>
      <c r="G9" s="117"/>
      <c r="H9" s="116" t="s">
        <v>84</v>
      </c>
      <c r="I9" s="117"/>
      <c r="J9" s="116" t="s">
        <v>25</v>
      </c>
      <c r="K9" s="117"/>
      <c r="L9" s="1"/>
    </row>
    <row r="10" spans="1:12" x14ac:dyDescent="0.25">
      <c r="A10" s="1"/>
      <c r="B10" s="59" t="s">
        <v>192</v>
      </c>
      <c r="C10" s="48">
        <v>0</v>
      </c>
      <c r="D10" s="9">
        <v>0</v>
      </c>
      <c r="E10" s="14" t="s">
        <v>3</v>
      </c>
      <c r="F10" s="61">
        <f>IFERROR(D10/C10,0)</f>
        <v>0</v>
      </c>
      <c r="G10" s="14" t="s">
        <v>3</v>
      </c>
      <c r="H10" s="9">
        <v>0</v>
      </c>
      <c r="I10" s="14" t="s">
        <v>3</v>
      </c>
      <c r="J10" s="9">
        <v>0</v>
      </c>
      <c r="K10" s="14" t="s">
        <v>3</v>
      </c>
      <c r="L10" s="1"/>
    </row>
    <row r="11" spans="1:12" x14ac:dyDescent="0.25">
      <c r="A11" s="1"/>
      <c r="B11" s="52" t="s">
        <v>146</v>
      </c>
      <c r="C11" s="53"/>
      <c r="D11" s="19"/>
      <c r="E11" s="71"/>
      <c r="F11" s="12">
        <f>SUM(F10:F10)</f>
        <v>0</v>
      </c>
      <c r="G11" s="13" t="s">
        <v>3</v>
      </c>
      <c r="H11" s="12">
        <f>SUM(H10:H10)</f>
        <v>0</v>
      </c>
      <c r="I11" s="13" t="s">
        <v>3</v>
      </c>
      <c r="J11" s="12">
        <f>SUM(J10:J10)</f>
        <v>0</v>
      </c>
      <c r="K11" s="13"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hidden="1" x14ac:dyDescent="0.25">
      <c r="A43" s="40"/>
      <c r="B43" s="40"/>
      <c r="C43" s="40"/>
      <c r="D43" s="40"/>
      <c r="E43" s="40"/>
      <c r="F43" s="40"/>
      <c r="G43" s="40"/>
      <c r="H43" s="40"/>
      <c r="I43" s="40"/>
      <c r="J43" s="40"/>
      <c r="K43" s="40"/>
      <c r="L43" s="40"/>
    </row>
    <row r="44" spans="1:12" hidden="1" x14ac:dyDescent="0.25">
      <c r="A44" s="40"/>
      <c r="B44" s="40"/>
      <c r="C44" s="40"/>
      <c r="D44" s="40"/>
      <c r="E44" s="40"/>
      <c r="F44" s="40"/>
      <c r="G44" s="40"/>
      <c r="H44" s="40"/>
      <c r="I44" s="40"/>
      <c r="J44" s="40"/>
      <c r="K44" s="40"/>
      <c r="L44" s="40"/>
    </row>
    <row r="45" spans="1:12" hidden="1" x14ac:dyDescent="0.25">
      <c r="A45" s="40"/>
      <c r="B45" s="40"/>
      <c r="C45" s="40"/>
      <c r="D45" s="40"/>
      <c r="E45" s="40"/>
      <c r="F45" s="40"/>
      <c r="G45" s="40"/>
      <c r="H45" s="40"/>
      <c r="I45" s="40"/>
      <c r="J45" s="40"/>
      <c r="K45" s="40"/>
      <c r="L45" s="40"/>
    </row>
    <row r="46" spans="1:12" hidden="1" x14ac:dyDescent="0.25">
      <c r="A46" s="40"/>
      <c r="B46" s="40"/>
      <c r="C46" s="40"/>
      <c r="D46" s="40"/>
      <c r="E46" s="40"/>
      <c r="F46" s="40"/>
      <c r="G46" s="40"/>
      <c r="H46" s="40"/>
      <c r="I46" s="40"/>
      <c r="J46" s="40"/>
      <c r="K46" s="40"/>
      <c r="L46" s="40"/>
    </row>
    <row r="47" spans="1:12" hidden="1" x14ac:dyDescent="0.25"/>
    <row r="48" spans="1:12" hidden="1" x14ac:dyDescent="0.25"/>
    <row r="49" hidden="1" x14ac:dyDescent="0.25"/>
    <row r="50" hidden="1" x14ac:dyDescent="0.25"/>
    <row r="51" hidden="1" x14ac:dyDescent="0.25"/>
    <row r="52" hidden="1" x14ac:dyDescent="0.25"/>
  </sheetData>
  <sheetProtection algorithmName="SHA-512" hashValue="g1AgK+T2L7RETTl2YHWmaZMnHhAk8vbkBn9FtfOMDXg+84OMc6FTFrOz4MiV144EpC88W/ibK7CQ9YSx2e63DQ==" saltValue="KjKGxfjbvWJv+Mxj/oWZAA==" spinCount="100000" sheet="1" objects="1" scenarios="1"/>
  <mergeCells count="6">
    <mergeCell ref="B3:K4"/>
    <mergeCell ref="B8:K8"/>
    <mergeCell ref="D9:E9"/>
    <mergeCell ref="F9:G9"/>
    <mergeCell ref="H9:I9"/>
    <mergeCell ref="J9:K9"/>
  </mergeCells>
  <pageMargins left="0.70866141732283461" right="0.70866141732283461" top="0.74803149606299213" bottom="0.74803149606299213" header="0.31496062992125984" footer="0.31496062992125984"/>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16"/>
  <dimension ref="A1:G57"/>
  <sheetViews>
    <sheetView showGridLines="0" zoomScaleNormal="100" workbookViewId="0"/>
  </sheetViews>
  <sheetFormatPr defaultColWidth="0" defaultRowHeight="15" zeroHeight="1" x14ac:dyDescent="0.25"/>
  <cols>
    <col min="1" max="1" width="5.28515625" style="2" customWidth="1"/>
    <col min="2" max="2" width="38.140625" style="2" customWidth="1"/>
    <col min="3" max="3" width="13.5703125" style="2" customWidth="1"/>
    <col min="4" max="4" width="3.140625" style="2" customWidth="1"/>
    <col min="5" max="5" width="13.5703125" style="2" customWidth="1"/>
    <col min="6" max="6" width="3.140625" style="2" customWidth="1"/>
    <col min="7" max="7" width="5.28515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4" t="s">
        <v>91</v>
      </c>
      <c r="C3" s="94"/>
      <c r="D3" s="94"/>
      <c r="E3" s="94"/>
      <c r="F3" s="94"/>
      <c r="G3" s="1"/>
    </row>
    <row r="4" spans="1:7" ht="15" customHeight="1" x14ac:dyDescent="0.25">
      <c r="A4" s="1"/>
      <c r="B4" s="94"/>
      <c r="C4" s="94"/>
      <c r="D4" s="94"/>
      <c r="E4" s="94"/>
      <c r="F4" s="94"/>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52" t="s">
        <v>34</v>
      </c>
      <c r="C8" s="53"/>
      <c r="D8" s="53"/>
      <c r="E8" s="53"/>
      <c r="F8" s="19"/>
      <c r="G8" s="1"/>
    </row>
    <row r="9" spans="1:7" ht="17.25" customHeight="1" x14ac:dyDescent="0.25">
      <c r="A9" s="1"/>
      <c r="B9" s="72" t="s">
        <v>15</v>
      </c>
      <c r="C9" s="74" t="s">
        <v>10</v>
      </c>
      <c r="D9" s="73"/>
      <c r="E9" s="74" t="s">
        <v>26</v>
      </c>
      <c r="F9" s="27"/>
      <c r="G9" s="1"/>
    </row>
    <row r="10" spans="1:7" x14ac:dyDescent="0.25">
      <c r="A10" s="1"/>
      <c r="B10" s="23" t="s">
        <v>77</v>
      </c>
      <c r="C10" s="21">
        <f>'Fane 9. Anlægsprojekter (§ 19) '!H11</f>
        <v>0</v>
      </c>
      <c r="D10" s="14" t="s">
        <v>3</v>
      </c>
      <c r="E10" s="9">
        <f>'Fane 9. Anlægsprojekter (§ 19) '!F11+'Fane 9. Anlægsprojekter (§ 19) '!J11</f>
        <v>0</v>
      </c>
      <c r="F10" s="14" t="s">
        <v>3</v>
      </c>
      <c r="G10" s="1"/>
    </row>
    <row r="11" spans="1:7" x14ac:dyDescent="0.25">
      <c r="A11" s="1"/>
      <c r="B11" s="26" t="s">
        <v>201</v>
      </c>
      <c r="C11" s="21">
        <v>0</v>
      </c>
      <c r="D11" s="14" t="s">
        <v>3</v>
      </c>
      <c r="E11" s="9">
        <v>69110.100000000006</v>
      </c>
      <c r="F11" s="14" t="s">
        <v>3</v>
      </c>
      <c r="G11" s="1"/>
    </row>
    <row r="12" spans="1:7" x14ac:dyDescent="0.25">
      <c r="A12" s="1"/>
      <c r="B12" s="26" t="s">
        <v>202</v>
      </c>
      <c r="C12" s="21">
        <v>0</v>
      </c>
      <c r="D12" s="14" t="s">
        <v>3</v>
      </c>
      <c r="E12" s="9">
        <v>21311.97</v>
      </c>
      <c r="F12" s="14" t="s">
        <v>3</v>
      </c>
      <c r="G12" s="1"/>
    </row>
    <row r="13" spans="1:7" x14ac:dyDescent="0.25">
      <c r="A13" s="1"/>
      <c r="B13" s="26" t="s">
        <v>203</v>
      </c>
      <c r="C13" s="21">
        <v>0</v>
      </c>
      <c r="D13" s="14" t="s">
        <v>3</v>
      </c>
      <c r="E13" s="9">
        <v>24642.84</v>
      </c>
      <c r="F13" s="14" t="s">
        <v>3</v>
      </c>
      <c r="G13" s="1"/>
    </row>
    <row r="14" spans="1:7" x14ac:dyDescent="0.25">
      <c r="A14" s="1"/>
      <c r="B14" s="26" t="s">
        <v>204</v>
      </c>
      <c r="C14" s="21">
        <v>0</v>
      </c>
      <c r="D14" s="14" t="s">
        <v>3</v>
      </c>
      <c r="E14" s="9">
        <v>48519.49</v>
      </c>
      <c r="F14" s="14" t="s">
        <v>3</v>
      </c>
      <c r="G14" s="1"/>
    </row>
    <row r="15" spans="1:7" x14ac:dyDescent="0.25">
      <c r="A15" s="1"/>
      <c r="B15" s="26" t="s">
        <v>205</v>
      </c>
      <c r="C15" s="21">
        <v>382972.22</v>
      </c>
      <c r="D15" s="14" t="s">
        <v>3</v>
      </c>
      <c r="E15" s="9">
        <v>5734.35</v>
      </c>
      <c r="F15" s="14" t="s">
        <v>3</v>
      </c>
      <c r="G15" s="1"/>
    </row>
    <row r="16" spans="1:7" x14ac:dyDescent="0.25">
      <c r="A16" s="1"/>
      <c r="B16" s="26"/>
      <c r="C16" s="21"/>
      <c r="D16" s="14" t="s">
        <v>3</v>
      </c>
      <c r="E16" s="9"/>
      <c r="F16" s="14" t="s">
        <v>3</v>
      </c>
      <c r="G16" s="1"/>
    </row>
    <row r="17" spans="1:7" x14ac:dyDescent="0.25">
      <c r="A17" s="1"/>
      <c r="B17" s="52" t="s">
        <v>112</v>
      </c>
      <c r="C17" s="12">
        <f>SUM(C10:C16)</f>
        <v>382972.22</v>
      </c>
      <c r="D17" s="13" t="s">
        <v>3</v>
      </c>
      <c r="E17" s="12">
        <f>SUM(E10:E16)</f>
        <v>169318.75</v>
      </c>
      <c r="F17" s="13" t="s">
        <v>3</v>
      </c>
      <c r="G17" s="1"/>
    </row>
    <row r="18" spans="1:7" x14ac:dyDescent="0.25">
      <c r="A18" s="1"/>
      <c r="B18" s="52" t="s">
        <v>147</v>
      </c>
      <c r="C18" s="12">
        <f>C17*(1+'Fane 13. Nøgletal'!C11)</f>
        <v>408363.27818599995</v>
      </c>
      <c r="D18" s="13" t="s">
        <v>3</v>
      </c>
      <c r="E18" s="12">
        <f>E17*(1+'Fane 13. Nøgletal'!C11)</f>
        <v>180544.583125</v>
      </c>
      <c r="F18" s="13" t="s">
        <v>3</v>
      </c>
      <c r="G18" s="1"/>
    </row>
    <row r="19" spans="1:7" x14ac:dyDescent="0.25">
      <c r="A19" s="1"/>
      <c r="B19" s="1"/>
      <c r="C19" s="1" t="s">
        <v>82</v>
      </c>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row r="51" spans="1:7" hidden="1" x14ac:dyDescent="0.25">
      <c r="A51" s="40"/>
      <c r="B51" s="40"/>
      <c r="C51" s="40"/>
      <c r="D51" s="40"/>
      <c r="E51" s="40"/>
      <c r="F51" s="40"/>
      <c r="G51" s="40"/>
    </row>
    <row r="52" spans="1:7" hidden="1" x14ac:dyDescent="0.25">
      <c r="A52" s="40"/>
      <c r="B52" s="40"/>
      <c r="C52" s="40"/>
      <c r="D52" s="40"/>
      <c r="E52" s="40"/>
      <c r="F52" s="40"/>
      <c r="G52" s="40"/>
    </row>
    <row r="53" spans="1:7" hidden="1" x14ac:dyDescent="0.25">
      <c r="A53" s="40"/>
      <c r="B53" s="40"/>
      <c r="C53" s="40"/>
      <c r="D53" s="40"/>
      <c r="E53" s="40"/>
      <c r="F53" s="40"/>
      <c r="G53" s="40"/>
    </row>
    <row r="54" spans="1:7" hidden="1" x14ac:dyDescent="0.25">
      <c r="A54" s="40"/>
      <c r="B54" s="40"/>
      <c r="C54" s="40"/>
      <c r="D54" s="40"/>
      <c r="E54" s="40"/>
      <c r="F54" s="40"/>
      <c r="G54" s="40"/>
    </row>
    <row r="55" spans="1:7" hidden="1" x14ac:dyDescent="0.25">
      <c r="A55" s="40"/>
      <c r="B55" s="40"/>
      <c r="C55" s="40"/>
      <c r="D55" s="40"/>
      <c r="E55" s="40"/>
      <c r="F55" s="40"/>
      <c r="G55" s="40"/>
    </row>
    <row r="56" spans="1:7" hidden="1" x14ac:dyDescent="0.25">
      <c r="A56" s="40"/>
      <c r="B56" s="40"/>
      <c r="C56" s="40"/>
      <c r="D56" s="40"/>
      <c r="E56" s="40"/>
      <c r="F56" s="40"/>
      <c r="G56" s="40"/>
    </row>
    <row r="57" spans="1:7" hidden="1" x14ac:dyDescent="0.25">
      <c r="A57" s="40"/>
      <c r="B57" s="40"/>
      <c r="C57" s="40"/>
      <c r="D57" s="40"/>
      <c r="E57" s="40"/>
      <c r="F57" s="40"/>
      <c r="G57" s="40"/>
    </row>
  </sheetData>
  <sheetProtection algorithmName="SHA-512" hashValue="MbP4yJZaVDRji0JpMoldnAeSig6udiFkRbFN+mIDPmQqINsEdsPpEa6VP1KV2Bww2bnYbeLAZXPGbO5fb5G2hg==" saltValue="WOgTJjvgTxWccBq4jRFLuQ==" spinCount="100000" sheet="1" objects="1" scenarios="1"/>
  <mergeCells count="1">
    <mergeCell ref="B3:F4"/>
  </mergeCells>
  <pageMargins left="0.70866141732283461" right="0.70866141732283461" top="0.74803149606299213" bottom="0.74803149606299213" header="0.31496062992125984" footer="0.31496062992125984"/>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17"/>
  <dimension ref="A1:G50"/>
  <sheetViews>
    <sheetView showGridLines="0" zoomScaleNormal="100" workbookViewId="0"/>
  </sheetViews>
  <sheetFormatPr defaultColWidth="0" defaultRowHeight="15" zeroHeight="1" x14ac:dyDescent="0.25"/>
  <cols>
    <col min="1" max="1" width="5.28515625" style="2" customWidth="1"/>
    <col min="2" max="2" width="38.140625" style="2" customWidth="1"/>
    <col min="3" max="3" width="13.5703125" style="2" customWidth="1"/>
    <col min="4" max="4" width="3.28515625" style="2" customWidth="1"/>
    <col min="5" max="5" width="13.5703125" style="2" customWidth="1"/>
    <col min="6" max="6" width="3.28515625" style="2" customWidth="1"/>
    <col min="7" max="7" width="5.28515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4" t="s">
        <v>92</v>
      </c>
      <c r="C3" s="94"/>
      <c r="D3" s="94"/>
      <c r="E3" s="94"/>
      <c r="F3" s="94"/>
      <c r="G3" s="1"/>
    </row>
    <row r="4" spans="1:7" ht="15" customHeight="1" x14ac:dyDescent="0.25">
      <c r="A4" s="1"/>
      <c r="B4" s="94"/>
      <c r="C4" s="94"/>
      <c r="D4" s="94"/>
      <c r="E4" s="94"/>
      <c r="F4" s="94"/>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98" t="s">
        <v>150</v>
      </c>
      <c r="C8" s="99"/>
      <c r="D8" s="99"/>
      <c r="E8" s="99"/>
      <c r="F8" s="100"/>
      <c r="G8" s="1"/>
    </row>
    <row r="9" spans="1:7" x14ac:dyDescent="0.25">
      <c r="A9" s="1"/>
      <c r="B9" s="72" t="s">
        <v>15</v>
      </c>
      <c r="C9" s="74" t="s">
        <v>10</v>
      </c>
      <c r="D9" s="75"/>
      <c r="E9" s="74" t="s">
        <v>26</v>
      </c>
      <c r="F9" s="27"/>
      <c r="G9" s="1"/>
    </row>
    <row r="10" spans="1:7" x14ac:dyDescent="0.25">
      <c r="A10" s="1"/>
      <c r="B10" s="23" t="s">
        <v>206</v>
      </c>
      <c r="C10" s="21">
        <v>156631.21</v>
      </c>
      <c r="D10" s="14" t="s">
        <v>3</v>
      </c>
      <c r="E10" s="9">
        <v>0</v>
      </c>
      <c r="F10" s="14" t="s">
        <v>3</v>
      </c>
      <c r="G10" s="1"/>
    </row>
    <row r="11" spans="1:7" x14ac:dyDescent="0.25">
      <c r="A11" s="1"/>
      <c r="B11" s="23" t="s">
        <v>207</v>
      </c>
      <c r="C11" s="21">
        <v>156490.85999999999</v>
      </c>
      <c r="D11" s="14" t="s">
        <v>3</v>
      </c>
      <c r="E11" s="9">
        <v>0</v>
      </c>
      <c r="F11" s="14" t="s">
        <v>3</v>
      </c>
      <c r="G11" s="1"/>
    </row>
    <row r="12" spans="1:7" x14ac:dyDescent="0.25">
      <c r="A12" s="1"/>
      <c r="B12" s="23"/>
      <c r="C12" s="21"/>
      <c r="D12" s="14" t="s">
        <v>3</v>
      </c>
      <c r="E12" s="9"/>
      <c r="F12" s="14" t="s">
        <v>3</v>
      </c>
      <c r="G12" s="1"/>
    </row>
    <row r="13" spans="1:7" x14ac:dyDescent="0.25">
      <c r="A13" s="1"/>
      <c r="B13" s="52" t="s">
        <v>148</v>
      </c>
      <c r="C13" s="12">
        <f>SUM(C10:C12)</f>
        <v>313122.06999999995</v>
      </c>
      <c r="D13" s="13" t="s">
        <v>3</v>
      </c>
      <c r="E13" s="12">
        <f>SUM(E10:E12)</f>
        <v>0</v>
      </c>
      <c r="F13" s="13" t="s">
        <v>3</v>
      </c>
      <c r="G13" s="1"/>
    </row>
    <row r="14" spans="1:7" x14ac:dyDescent="0.25">
      <c r="A14" s="1"/>
      <c r="B14" s="52" t="s">
        <v>149</v>
      </c>
      <c r="C14" s="12">
        <f>C13*(1+'Fane 13. Nøgletal'!$C$11)^2</f>
        <v>356018.44403387822</v>
      </c>
      <c r="D14" s="13" t="s">
        <v>3</v>
      </c>
      <c r="E14" s="12">
        <f>E13*(1+'Fane 13. Nøgletal'!$C$11)^2</f>
        <v>0</v>
      </c>
      <c r="F14" s="13" t="s">
        <v>3</v>
      </c>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ht="18" customHeight="1"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Kp0o2m8EtogfjrBqIT/+/CCWbCWzU0vY0QMt3UgzFea7sEHuefa6KuVynAQSjUd3GoSBWVfgXzMPmRzXrBShtg==" saltValue="Od4vJoFRfMUOfvE4gEnlkg==" spinCount="100000" sheet="1" objects="1" scenarios="1"/>
  <mergeCells count="2">
    <mergeCell ref="B3:F4"/>
    <mergeCell ref="B8:F8"/>
  </mergeCells>
  <pageMargins left="0.70866141732283461" right="0.70866141732283461" top="0.74803149606299213" bottom="0.74803149606299213" header="0.31496062992125984" footer="0.31496062992125984"/>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Ark18"/>
  <dimension ref="A1:G46"/>
  <sheetViews>
    <sheetView showGridLines="0" zoomScaleNormal="100" workbookViewId="0"/>
  </sheetViews>
  <sheetFormatPr defaultColWidth="0" defaultRowHeight="15" zeroHeight="1" x14ac:dyDescent="0.25"/>
  <cols>
    <col min="1" max="1" width="5.28515625" style="2" customWidth="1"/>
    <col min="2" max="2" width="37.5703125" style="2" customWidth="1"/>
    <col min="3" max="3" width="13.7109375" style="2" customWidth="1"/>
    <col min="4" max="4" width="3.28515625" style="2" customWidth="1"/>
    <col min="5" max="5" width="13.7109375" style="2" customWidth="1"/>
    <col min="6" max="6" width="3.28515625" style="2" customWidth="1"/>
    <col min="7" max="7" width="5.28515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6" t="s">
        <v>93</v>
      </c>
      <c r="C3" s="96"/>
      <c r="D3" s="96"/>
      <c r="E3" s="96"/>
      <c r="F3" s="96"/>
      <c r="G3" s="1"/>
    </row>
    <row r="4" spans="1:7" ht="15" customHeight="1" x14ac:dyDescent="0.25">
      <c r="A4" s="1"/>
      <c r="B4" s="96"/>
      <c r="C4" s="96"/>
      <c r="D4" s="96"/>
      <c r="E4" s="96"/>
      <c r="F4" s="96"/>
      <c r="G4" s="1"/>
    </row>
    <row r="5" spans="1:7" x14ac:dyDescent="0.25">
      <c r="A5" s="1"/>
      <c r="B5" s="96"/>
      <c r="C5" s="96"/>
      <c r="D5" s="96"/>
      <c r="E5" s="96"/>
      <c r="F5" s="96"/>
      <c r="G5" s="1"/>
    </row>
    <row r="6" spans="1:7" x14ac:dyDescent="0.25">
      <c r="A6" s="1"/>
      <c r="B6" s="1"/>
      <c r="C6" s="1"/>
      <c r="D6" s="1"/>
      <c r="E6" s="1"/>
      <c r="F6" s="1"/>
      <c r="G6" s="1"/>
    </row>
    <row r="7" spans="1:7" x14ac:dyDescent="0.25">
      <c r="A7" s="1"/>
      <c r="B7" s="1"/>
      <c r="C7" s="1"/>
      <c r="D7" s="1"/>
      <c r="E7" s="1"/>
      <c r="F7" s="1"/>
      <c r="G7" s="1"/>
    </row>
    <row r="8" spans="1:7" x14ac:dyDescent="0.25">
      <c r="A8" s="1"/>
      <c r="B8" s="98" t="s">
        <v>59</v>
      </c>
      <c r="C8" s="99"/>
      <c r="D8" s="99"/>
      <c r="E8" s="99"/>
      <c r="F8" s="100"/>
      <c r="G8" s="1"/>
    </row>
    <row r="9" spans="1:7" ht="15" customHeight="1" x14ac:dyDescent="0.25">
      <c r="A9" s="1"/>
      <c r="B9" s="54" t="s">
        <v>60</v>
      </c>
      <c r="C9" s="118" t="s">
        <v>10</v>
      </c>
      <c r="D9" s="119"/>
      <c r="E9" s="118" t="s">
        <v>26</v>
      </c>
      <c r="F9" s="119"/>
      <c r="G9" s="1"/>
    </row>
    <row r="10" spans="1:7" ht="26.25" x14ac:dyDescent="0.25">
      <c r="A10" s="1"/>
      <c r="B10" s="60" t="s">
        <v>190</v>
      </c>
      <c r="C10" s="9">
        <v>0</v>
      </c>
      <c r="D10" s="14" t="s">
        <v>3</v>
      </c>
      <c r="E10" s="9">
        <v>0</v>
      </c>
      <c r="F10" s="14" t="s">
        <v>3</v>
      </c>
      <c r="G10" s="1"/>
    </row>
    <row r="11" spans="1:7" ht="28.5" customHeight="1" x14ac:dyDescent="0.25">
      <c r="A11" s="1"/>
      <c r="B11" s="20" t="s">
        <v>115</v>
      </c>
      <c r="C11" s="12">
        <f>SUM(C10:C10)</f>
        <v>0</v>
      </c>
      <c r="D11" s="13" t="s">
        <v>3</v>
      </c>
      <c r="E11" s="12">
        <f>SUM(E10:E10)</f>
        <v>0</v>
      </c>
      <c r="F11" s="13" t="s">
        <v>3</v>
      </c>
      <c r="G11" s="1"/>
    </row>
    <row r="12" spans="1:7" ht="27" customHeight="1" x14ac:dyDescent="0.25">
      <c r="A12" s="1"/>
      <c r="B12" s="20" t="s">
        <v>151</v>
      </c>
      <c r="C12" s="12">
        <f>C11*(1+'Fane 13. Nøgletal'!C11)</f>
        <v>0</v>
      </c>
      <c r="D12" s="13" t="s">
        <v>3</v>
      </c>
      <c r="E12" s="12">
        <f>E11*(1+'Fane 13. Nøgletal'!C11)</f>
        <v>0</v>
      </c>
      <c r="F12" s="13" t="s">
        <v>3</v>
      </c>
      <c r="G12" s="1"/>
    </row>
    <row r="13" spans="1:7" x14ac:dyDescent="0.25">
      <c r="A13" s="1"/>
      <c r="B13" s="1"/>
      <c r="C13" s="1"/>
      <c r="D13" s="1"/>
      <c r="E13" s="1"/>
      <c r="F13" s="1"/>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sheetData>
  <sheetProtection algorithmName="SHA-512" hashValue="72h7wePBwaJWjnylFWX8bHumHowIrvVo2EM1ZFCC03m8sqAdEm6CUEIsrX6SACY+SfxlmaChwBwCNKt0z896Xw==" saltValue="1TbIRNClkTmbzWIAUWvzpA==" spinCount="100000" sheet="1" objects="1" scenarios="1"/>
  <mergeCells count="4">
    <mergeCell ref="B8:F8"/>
    <mergeCell ref="C9:D9"/>
    <mergeCell ref="E9:F9"/>
    <mergeCell ref="B3:F5"/>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Ark14"/>
  <dimension ref="A1:G50"/>
  <sheetViews>
    <sheetView showGridLines="0" zoomScaleNormal="100" workbookViewId="0"/>
  </sheetViews>
  <sheetFormatPr defaultColWidth="0" defaultRowHeight="15" zeroHeight="1" x14ac:dyDescent="0.25"/>
  <cols>
    <col min="1" max="1" width="5.28515625" style="2" customWidth="1"/>
    <col min="2" max="2" width="37.5703125" style="2" customWidth="1"/>
    <col min="3" max="3" width="13.7109375" style="2" customWidth="1"/>
    <col min="4" max="4" width="3.140625" style="2" customWidth="1"/>
    <col min="5" max="5" width="13.7109375" style="2" customWidth="1"/>
    <col min="6" max="6" width="3.140625" style="2" customWidth="1"/>
    <col min="7" max="7" width="5.28515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6" t="s">
        <v>94</v>
      </c>
      <c r="C3" s="96"/>
      <c r="D3" s="96"/>
      <c r="E3" s="96"/>
      <c r="F3" s="96"/>
      <c r="G3" s="1"/>
    </row>
    <row r="4" spans="1:7" ht="15" customHeight="1" x14ac:dyDescent="0.25">
      <c r="A4" s="1"/>
      <c r="B4" s="96"/>
      <c r="C4" s="96"/>
      <c r="D4" s="96"/>
      <c r="E4" s="96"/>
      <c r="F4" s="96"/>
      <c r="G4" s="1"/>
    </row>
    <row r="5" spans="1:7" x14ac:dyDescent="0.25">
      <c r="A5" s="1"/>
      <c r="B5" s="96"/>
      <c r="C5" s="96"/>
      <c r="D5" s="96"/>
      <c r="E5" s="96"/>
      <c r="F5" s="96"/>
      <c r="G5" s="1"/>
    </row>
    <row r="6" spans="1:7" x14ac:dyDescent="0.25">
      <c r="A6" s="1"/>
      <c r="B6" s="1"/>
      <c r="C6" s="1"/>
      <c r="D6" s="1"/>
      <c r="E6" s="1"/>
      <c r="F6" s="1"/>
      <c r="G6" s="1"/>
    </row>
    <row r="7" spans="1:7" ht="15" customHeight="1" x14ac:dyDescent="0.25">
      <c r="A7" s="1"/>
      <c r="B7" s="1"/>
      <c r="C7" s="1"/>
      <c r="D7" s="1"/>
      <c r="E7" s="1"/>
      <c r="F7" s="1"/>
      <c r="G7" s="1"/>
    </row>
    <row r="8" spans="1:7" x14ac:dyDescent="0.25">
      <c r="A8" s="1"/>
      <c r="B8" s="98" t="s">
        <v>152</v>
      </c>
      <c r="C8" s="99"/>
      <c r="D8" s="99"/>
      <c r="E8" s="99"/>
      <c r="F8" s="100"/>
      <c r="G8" s="1"/>
    </row>
    <row r="9" spans="1:7" x14ac:dyDescent="0.25">
      <c r="A9" s="1"/>
      <c r="B9" s="54" t="s">
        <v>16</v>
      </c>
      <c r="C9" s="51" t="s">
        <v>10</v>
      </c>
      <c r="D9" s="27"/>
      <c r="E9" s="51" t="s">
        <v>26</v>
      </c>
      <c r="F9" s="27"/>
      <c r="G9" s="1"/>
    </row>
    <row r="10" spans="1:7" x14ac:dyDescent="0.25">
      <c r="A10" s="1"/>
      <c r="B10" s="60" t="s">
        <v>191</v>
      </c>
      <c r="C10" s="9">
        <v>0</v>
      </c>
      <c r="D10" s="14" t="s">
        <v>3</v>
      </c>
      <c r="E10" s="9">
        <v>0</v>
      </c>
      <c r="F10" s="14" t="s">
        <v>3</v>
      </c>
      <c r="G10" s="1"/>
    </row>
    <row r="11" spans="1:7" x14ac:dyDescent="0.25">
      <c r="A11" s="1"/>
      <c r="B11" s="52" t="s">
        <v>122</v>
      </c>
      <c r="C11" s="12">
        <f>SUM(C10:C10)</f>
        <v>0</v>
      </c>
      <c r="D11" s="13" t="s">
        <v>3</v>
      </c>
      <c r="E11" s="12">
        <f>SUM(E10:E10)</f>
        <v>0</v>
      </c>
      <c r="F11" s="13" t="s">
        <v>3</v>
      </c>
      <c r="G11" s="1"/>
    </row>
    <row r="12" spans="1:7" x14ac:dyDescent="0.25">
      <c r="A12" s="1"/>
      <c r="B12" s="52" t="s">
        <v>189</v>
      </c>
      <c r="C12" s="12">
        <f>C11*(1+'Fane 13. Nøgletal'!C11)^2</f>
        <v>0</v>
      </c>
      <c r="D12" s="13" t="s">
        <v>3</v>
      </c>
      <c r="E12" s="12">
        <f>E11*(1+'Fane 13. Nøgletal'!C11)^2</f>
        <v>0</v>
      </c>
      <c r="F12" s="13" t="s">
        <v>3</v>
      </c>
      <c r="G12" s="1"/>
    </row>
    <row r="13" spans="1:7" x14ac:dyDescent="0.25">
      <c r="A13" s="1"/>
      <c r="B13" s="1"/>
      <c r="C13" s="1"/>
      <c r="D13" s="1"/>
      <c r="E13" s="1"/>
      <c r="F13" s="1"/>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9sTnISnEC7H7PZROkti5Ib2eNALC2sOdnde3lTBQDCIO/UXEwkqFNs51q4iAbal/E2e9Q59dfXutcu6BNyrySw==" saltValue="ZC68eqDGuIk1QyjolA5J/Q==" spinCount="100000" sheet="1" objects="1" scenarios="1"/>
  <mergeCells count="2">
    <mergeCell ref="B8:F8"/>
    <mergeCell ref="B3:F5"/>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Ark19"/>
  <dimension ref="A1:D50"/>
  <sheetViews>
    <sheetView showGridLines="0" zoomScaleNormal="100" workbookViewId="0"/>
  </sheetViews>
  <sheetFormatPr defaultColWidth="0" defaultRowHeight="15" zeroHeight="1" x14ac:dyDescent="0.25"/>
  <cols>
    <col min="1" max="1" width="5.28515625" style="2" customWidth="1"/>
    <col min="2" max="2" width="61.7109375" style="2" customWidth="1"/>
    <col min="3" max="3" width="7.5703125" style="38" customWidth="1"/>
    <col min="4" max="4" width="5.28515625" style="2" customWidth="1"/>
    <col min="5" max="16384" width="9.140625" style="2" hidden="1"/>
  </cols>
  <sheetData>
    <row r="1" spans="1:4" x14ac:dyDescent="0.25">
      <c r="A1" s="1"/>
      <c r="B1" s="1"/>
      <c r="C1" s="34"/>
      <c r="D1" s="1"/>
    </row>
    <row r="2" spans="1:4" x14ac:dyDescent="0.25">
      <c r="A2" s="1"/>
      <c r="B2" s="1"/>
      <c r="C2" s="34"/>
      <c r="D2" s="1"/>
    </row>
    <row r="3" spans="1:4" ht="15" customHeight="1" x14ac:dyDescent="0.25">
      <c r="A3" s="1"/>
      <c r="B3" s="96" t="s">
        <v>95</v>
      </c>
      <c r="C3" s="96"/>
      <c r="D3" s="1"/>
    </row>
    <row r="4" spans="1:4" ht="15" customHeight="1" x14ac:dyDescent="0.25">
      <c r="A4" s="1"/>
      <c r="B4" s="96"/>
      <c r="C4" s="96"/>
      <c r="D4" s="1"/>
    </row>
    <row r="5" spans="1:4" x14ac:dyDescent="0.25">
      <c r="A5" s="1"/>
      <c r="B5" s="1"/>
      <c r="C5" s="34"/>
      <c r="D5" s="1"/>
    </row>
    <row r="6" spans="1:4" x14ac:dyDescent="0.25">
      <c r="A6" s="1"/>
      <c r="B6" s="1"/>
      <c r="C6" s="34"/>
      <c r="D6" s="1"/>
    </row>
    <row r="7" spans="1:4" x14ac:dyDescent="0.25">
      <c r="A7" s="1"/>
      <c r="B7" s="1"/>
      <c r="C7" s="34"/>
      <c r="D7" s="1"/>
    </row>
    <row r="8" spans="1:4" x14ac:dyDescent="0.25">
      <c r="A8" s="1"/>
      <c r="B8" s="52" t="s">
        <v>13</v>
      </c>
      <c r="C8" s="35"/>
      <c r="D8" s="1"/>
    </row>
    <row r="9" spans="1:4" x14ac:dyDescent="0.25">
      <c r="A9" s="1"/>
      <c r="B9" s="43" t="s">
        <v>187</v>
      </c>
      <c r="C9" s="49">
        <v>3.56E-2</v>
      </c>
      <c r="D9" s="1"/>
    </row>
    <row r="10" spans="1:4" x14ac:dyDescent="0.25">
      <c r="A10" s="1"/>
      <c r="B10" s="43" t="s">
        <v>186</v>
      </c>
      <c r="C10" s="49">
        <v>8.0799999999999997E-2</v>
      </c>
      <c r="D10" s="1"/>
    </row>
    <row r="11" spans="1:4" x14ac:dyDescent="0.25">
      <c r="A11" s="1"/>
      <c r="B11" s="43" t="s">
        <v>194</v>
      </c>
      <c r="C11" s="49">
        <v>6.6299999999999998E-2</v>
      </c>
      <c r="D11" s="1"/>
    </row>
    <row r="12" spans="1:4" x14ac:dyDescent="0.25">
      <c r="A12" s="1"/>
      <c r="B12" s="98"/>
      <c r="C12" s="100"/>
      <c r="D12" s="1"/>
    </row>
    <row r="13" spans="1:4" x14ac:dyDescent="0.25">
      <c r="A13" s="1"/>
      <c r="B13" s="1"/>
      <c r="C13" s="34"/>
      <c r="D13" s="1"/>
    </row>
    <row r="14" spans="1:4" x14ac:dyDescent="0.25">
      <c r="A14" s="1"/>
      <c r="B14" s="1"/>
      <c r="C14" s="34"/>
      <c r="D14" s="1"/>
    </row>
    <row r="15" spans="1:4" x14ac:dyDescent="0.25">
      <c r="A15" s="1"/>
      <c r="B15" s="52" t="s">
        <v>44</v>
      </c>
      <c r="C15" s="35"/>
      <c r="D15" s="1"/>
    </row>
    <row r="16" spans="1:4" x14ac:dyDescent="0.25">
      <c r="A16" s="1"/>
      <c r="B16" s="43" t="s">
        <v>188</v>
      </c>
      <c r="C16" s="37">
        <v>0</v>
      </c>
      <c r="D16" s="1"/>
    </row>
    <row r="17" spans="1:4" x14ac:dyDescent="0.25">
      <c r="A17" s="1"/>
      <c r="B17" s="43" t="s">
        <v>111</v>
      </c>
      <c r="C17" s="37">
        <v>0</v>
      </c>
      <c r="D17" s="1"/>
    </row>
    <row r="18" spans="1:4" x14ac:dyDescent="0.25">
      <c r="A18" s="1"/>
      <c r="B18" s="43" t="s">
        <v>195</v>
      </c>
      <c r="C18" s="63">
        <v>0</v>
      </c>
      <c r="D18" s="1"/>
    </row>
    <row r="19" spans="1:4" x14ac:dyDescent="0.25">
      <c r="A19" s="1"/>
      <c r="B19" s="52"/>
      <c r="C19" s="35"/>
      <c r="D19" s="1"/>
    </row>
    <row r="20" spans="1:4" x14ac:dyDescent="0.25">
      <c r="A20" s="1"/>
      <c r="B20" s="1"/>
      <c r="C20" s="34"/>
      <c r="D20" s="1"/>
    </row>
    <row r="21" spans="1:4" x14ac:dyDescent="0.25">
      <c r="A21" s="1"/>
      <c r="B21" s="1"/>
      <c r="C21" s="34"/>
      <c r="D21" s="1"/>
    </row>
    <row r="22" spans="1:4" x14ac:dyDescent="0.25">
      <c r="A22" s="1"/>
      <c r="B22" s="52" t="s">
        <v>45</v>
      </c>
      <c r="C22" s="35"/>
      <c r="D22" s="1"/>
    </row>
    <row r="23" spans="1:4" x14ac:dyDescent="0.25">
      <c r="A23" s="1"/>
      <c r="B23" s="28" t="s">
        <v>56</v>
      </c>
      <c r="C23" s="36">
        <v>0.02</v>
      </c>
      <c r="D23" s="1"/>
    </row>
    <row r="24" spans="1:4" x14ac:dyDescent="0.25">
      <c r="A24" s="1"/>
      <c r="B24" s="52"/>
      <c r="C24" s="35"/>
      <c r="D24" s="1"/>
    </row>
    <row r="25" spans="1:4" x14ac:dyDescent="0.25">
      <c r="A25" s="1"/>
      <c r="B25" s="1"/>
      <c r="C25" s="34"/>
      <c r="D25" s="1"/>
    </row>
    <row r="26" spans="1:4" x14ac:dyDescent="0.25">
      <c r="A26" s="1"/>
      <c r="B26" s="1"/>
      <c r="C26" s="34"/>
      <c r="D26" s="1"/>
    </row>
    <row r="27" spans="1:4" x14ac:dyDescent="0.25">
      <c r="A27" s="1"/>
      <c r="B27" s="1"/>
      <c r="C27" s="34"/>
      <c r="D27" s="1"/>
    </row>
    <row r="28" spans="1:4" x14ac:dyDescent="0.25">
      <c r="A28" s="1"/>
      <c r="B28" s="1"/>
      <c r="C28" s="34"/>
      <c r="D28" s="1"/>
    </row>
    <row r="29" spans="1:4" x14ac:dyDescent="0.25">
      <c r="A29" s="1"/>
      <c r="B29" s="1"/>
      <c r="C29" s="34"/>
      <c r="D29" s="1"/>
    </row>
    <row r="30" spans="1:4" x14ac:dyDescent="0.25">
      <c r="A30" s="1"/>
      <c r="B30" s="1"/>
      <c r="C30" s="34"/>
      <c r="D30" s="1"/>
    </row>
    <row r="31" spans="1:4" x14ac:dyDescent="0.25">
      <c r="A31" s="1"/>
      <c r="B31" s="1"/>
      <c r="C31" s="34"/>
      <c r="D31" s="1"/>
    </row>
    <row r="32" spans="1:4" x14ac:dyDescent="0.25">
      <c r="A32" s="1"/>
      <c r="B32" s="1"/>
      <c r="C32" s="34"/>
      <c r="D32" s="1"/>
    </row>
    <row r="33" spans="1:4" x14ac:dyDescent="0.25">
      <c r="A33" s="1"/>
      <c r="B33" s="1"/>
      <c r="C33" s="34"/>
      <c r="D33" s="1"/>
    </row>
    <row r="34" spans="1:4" x14ac:dyDescent="0.25">
      <c r="A34" s="1"/>
      <c r="B34" s="1"/>
      <c r="C34" s="34"/>
      <c r="D34" s="1"/>
    </row>
    <row r="35" spans="1:4" x14ac:dyDescent="0.25">
      <c r="A35" s="1"/>
      <c r="B35" s="1"/>
      <c r="C35" s="34"/>
      <c r="D35" s="1"/>
    </row>
    <row r="36" spans="1:4" x14ac:dyDescent="0.25">
      <c r="A36" s="1"/>
      <c r="B36" s="1"/>
      <c r="C36" s="34"/>
      <c r="D36" s="1"/>
    </row>
    <row r="37" spans="1:4" x14ac:dyDescent="0.25">
      <c r="A37" s="1"/>
      <c r="B37" s="1"/>
      <c r="C37" s="34"/>
      <c r="D37" s="1"/>
    </row>
    <row r="38" spans="1:4" x14ac:dyDescent="0.25">
      <c r="A38" s="1"/>
      <c r="B38" s="1"/>
      <c r="C38" s="34"/>
      <c r="D38" s="1"/>
    </row>
    <row r="39" spans="1:4" x14ac:dyDescent="0.25">
      <c r="A39" s="1"/>
      <c r="B39" s="1"/>
      <c r="C39" s="34"/>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1"/>
      <c r="B50" s="1"/>
      <c r="C50" s="1"/>
      <c r="D50" s="1"/>
    </row>
  </sheetData>
  <sheetProtection algorithmName="SHA-512" hashValue="nS7IV7BRKeNIuEnbGM2iJkMrntWq9OOuzq6XP61bM80X6FGD+7CmDlF/Yf/pdoLbl+Jh3iIqbSsQU74RORrcQQ==" saltValue="0i12900jYx4p9/3XwEAe7A==" spinCount="100000" sheet="1" objects="1" scenarios="1"/>
  <mergeCells count="2">
    <mergeCell ref="B3:C4"/>
    <mergeCell ref="B12:C12"/>
  </mergeCells>
  <pageMargins left="0.8125"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dimension ref="A1:E49"/>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28515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94" t="s">
        <v>128</v>
      </c>
      <c r="C3" s="94"/>
      <c r="D3" s="94"/>
      <c r="E3" s="1"/>
    </row>
    <row r="4" spans="1:5" ht="15" customHeight="1" x14ac:dyDescent="0.25">
      <c r="A4" s="1"/>
      <c r="B4" s="94"/>
      <c r="C4" s="94"/>
      <c r="D4" s="94"/>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52" t="s">
        <v>12</v>
      </c>
      <c r="C8" s="53"/>
      <c r="D8" s="19"/>
      <c r="E8" s="1"/>
    </row>
    <row r="9" spans="1:5" x14ac:dyDescent="0.25">
      <c r="A9" s="1"/>
      <c r="B9" s="55" t="s">
        <v>68</v>
      </c>
      <c r="C9" s="7">
        <f>'Fane 3. Omkostninger i ØR2024'!C20</f>
        <v>13526432.518958734</v>
      </c>
      <c r="D9" s="8" t="s">
        <v>3</v>
      </c>
      <c r="E9" s="1"/>
    </row>
    <row r="10" spans="1:5" ht="17.100000000000001" customHeight="1" x14ac:dyDescent="0.25">
      <c r="A10" s="1"/>
      <c r="B10" s="24" t="s">
        <v>32</v>
      </c>
      <c r="C10" s="7">
        <f>'Fane 10.1. Varige tillæg'!C18</f>
        <v>408363.27818599995</v>
      </c>
      <c r="D10" s="8" t="s">
        <v>3</v>
      </c>
      <c r="E10" s="1"/>
    </row>
    <row r="11" spans="1:5" ht="17.100000000000001" customHeight="1" x14ac:dyDescent="0.25">
      <c r="A11" s="1"/>
      <c r="B11" s="24" t="s">
        <v>33</v>
      </c>
      <c r="C11" s="9">
        <f>'Fane 10.1. Varige tillæg'!E18</f>
        <v>180544.583125</v>
      </c>
      <c r="D11" s="8" t="s">
        <v>3</v>
      </c>
      <c r="E11" s="1"/>
    </row>
    <row r="12" spans="1:5" ht="17.100000000000001" customHeight="1" x14ac:dyDescent="0.25">
      <c r="A12" s="1"/>
      <c r="B12" s="24" t="s">
        <v>24</v>
      </c>
      <c r="C12" s="9">
        <f>-'Fane 12. Bortfald'!C12</f>
        <v>0</v>
      </c>
      <c r="D12" s="8" t="s">
        <v>3</v>
      </c>
      <c r="E12" s="1"/>
    </row>
    <row r="13" spans="1:5" ht="17.100000000000001" customHeight="1" x14ac:dyDescent="0.25">
      <c r="A13" s="1"/>
      <c r="B13" s="24" t="s">
        <v>23</v>
      </c>
      <c r="C13" s="9">
        <f>-'Fane 12. Bortfald'!E12</f>
        <v>0</v>
      </c>
      <c r="D13" s="8" t="s">
        <v>3</v>
      </c>
      <c r="E13" s="1"/>
    </row>
    <row r="14" spans="1:5" ht="17.100000000000001" customHeight="1" x14ac:dyDescent="0.25">
      <c r="A14" s="1"/>
      <c r="B14" s="24" t="s">
        <v>61</v>
      </c>
      <c r="C14" s="9">
        <f>'Fane 11. Tilknyttet virksomhed'!C12</f>
        <v>0</v>
      </c>
      <c r="D14" s="8" t="s">
        <v>3</v>
      </c>
      <c r="E14" s="1"/>
    </row>
    <row r="15" spans="1:5" ht="17.100000000000001" customHeight="1" x14ac:dyDescent="0.25">
      <c r="A15" s="1"/>
      <c r="B15" s="24" t="s">
        <v>62</v>
      </c>
      <c r="C15" s="9">
        <f>'Fane 11. Tilknyttet virksomhed'!E12</f>
        <v>0</v>
      </c>
      <c r="D15" s="8" t="s">
        <v>3</v>
      </c>
      <c r="E15" s="1"/>
    </row>
    <row r="16" spans="1:5" ht="17.100000000000001" customHeight="1" x14ac:dyDescent="0.25">
      <c r="A16" s="1"/>
      <c r="B16" s="24" t="s">
        <v>17</v>
      </c>
      <c r="C16" s="9">
        <f>(SUM(C9:C11)+SUM(C14:C15))*'Fane 13. Nøgletal'!C11</f>
        <v>935847.06721188338</v>
      </c>
      <c r="D16" s="8" t="s">
        <v>3</v>
      </c>
      <c r="E16" s="1"/>
    </row>
    <row r="17" spans="1:5" ht="17.100000000000001" customHeight="1" x14ac:dyDescent="0.25">
      <c r="A17" s="1"/>
      <c r="B17" s="24" t="s">
        <v>9</v>
      </c>
      <c r="C17" s="9">
        <f>-SUM(C9:C16)*'Fane 5. Individuelt eff. krav'!C9</f>
        <v>-226878.79264512824</v>
      </c>
      <c r="D17" s="8" t="s">
        <v>3</v>
      </c>
      <c r="E17" s="1"/>
    </row>
    <row r="18" spans="1:5" ht="17.100000000000001" customHeight="1" x14ac:dyDescent="0.25">
      <c r="A18" s="1"/>
      <c r="B18" s="24" t="s">
        <v>21</v>
      </c>
      <c r="C18" s="9">
        <f>-'Fane 4.1. Gen. krav - drift'!C17</f>
        <v>-160574.28955057132</v>
      </c>
      <c r="D18" s="8" t="s">
        <v>3</v>
      </c>
      <c r="E18" s="1"/>
    </row>
    <row r="19" spans="1:5" ht="17.100000000000001" customHeight="1" x14ac:dyDescent="0.25">
      <c r="A19" s="1"/>
      <c r="B19" s="24" t="s">
        <v>22</v>
      </c>
      <c r="C19" s="9">
        <f>-'Fane 4.2. Gen. krav - anlæg'!C17</f>
        <v>0</v>
      </c>
      <c r="D19" s="8" t="s">
        <v>3</v>
      </c>
      <c r="E19" s="1"/>
    </row>
    <row r="20" spans="1:5" ht="17.100000000000001" customHeight="1" x14ac:dyDescent="0.25">
      <c r="A20" s="1"/>
      <c r="B20" s="74" t="s">
        <v>19</v>
      </c>
      <c r="C20" s="10">
        <f>SUM(C9:C19)</f>
        <v>14663734.365285918</v>
      </c>
      <c r="D20" s="11" t="s">
        <v>3</v>
      </c>
      <c r="E20" s="1"/>
    </row>
    <row r="21" spans="1:5" ht="15" customHeight="1" x14ac:dyDescent="0.25">
      <c r="A21" s="1"/>
      <c r="B21" s="52" t="s">
        <v>11</v>
      </c>
      <c r="C21" s="53"/>
      <c r="D21" s="19"/>
      <c r="E21" s="1"/>
    </row>
    <row r="22" spans="1:5" ht="15" customHeight="1" x14ac:dyDescent="0.25">
      <c r="A22" s="1"/>
      <c r="B22" s="54" t="s">
        <v>11</v>
      </c>
      <c r="C22" s="10">
        <f>'Fane 6. Ikke-påvirkelige omk.'!C20</f>
        <v>7829129.4701847602</v>
      </c>
      <c r="D22" s="11" t="s">
        <v>3</v>
      </c>
      <c r="E22" s="1"/>
    </row>
    <row r="23" spans="1:5" ht="15" customHeight="1" x14ac:dyDescent="0.25">
      <c r="A23" s="1"/>
      <c r="B23" s="52" t="s">
        <v>39</v>
      </c>
      <c r="C23" s="53"/>
      <c r="D23" s="19"/>
      <c r="E23" s="1"/>
    </row>
    <row r="24" spans="1:5" ht="15" customHeight="1" x14ac:dyDescent="0.25">
      <c r="A24" s="1"/>
      <c r="B24" s="24" t="s">
        <v>35</v>
      </c>
      <c r="C24" s="9">
        <f>'Fane 10.2. Engangstillæg'!C14</f>
        <v>356018.44403387822</v>
      </c>
      <c r="D24" s="8" t="s">
        <v>3</v>
      </c>
      <c r="E24" s="1"/>
    </row>
    <row r="25" spans="1:5" ht="15" customHeight="1" x14ac:dyDescent="0.25">
      <c r="A25" s="1"/>
      <c r="B25" s="24" t="s">
        <v>36</v>
      </c>
      <c r="C25" s="9">
        <f>'Fane 10.2. Engangstillæg'!E14</f>
        <v>0</v>
      </c>
      <c r="D25" s="8" t="s">
        <v>3</v>
      </c>
      <c r="E25" s="1"/>
    </row>
    <row r="26" spans="1:5" ht="15" customHeight="1" x14ac:dyDescent="0.25">
      <c r="A26" s="1"/>
      <c r="B26" s="24" t="s">
        <v>79</v>
      </c>
      <c r="C26" s="9">
        <f>-C24*('Fane 13. Nøgletal'!C23+'Fane 5. Individuelt eff. krav'!C9)</f>
        <v>-12486.924511164943</v>
      </c>
      <c r="D26" s="8" t="s">
        <v>3</v>
      </c>
      <c r="E26" s="1"/>
    </row>
    <row r="27" spans="1:5" ht="15" customHeight="1" x14ac:dyDescent="0.25">
      <c r="A27" s="1"/>
      <c r="B27" s="24" t="s">
        <v>80</v>
      </c>
      <c r="C27" s="9">
        <f>-C25*('Fane 13. Nøgletal'!C18+'Fane 5. Individuelt eff. krav'!C9)</f>
        <v>0</v>
      </c>
      <c r="D27" s="8" t="s">
        <v>3</v>
      </c>
      <c r="E27" s="1"/>
    </row>
    <row r="28" spans="1:5" x14ac:dyDescent="0.25">
      <c r="A28" s="1"/>
      <c r="B28" s="74" t="s">
        <v>40</v>
      </c>
      <c r="C28" s="50">
        <f>SUM(C24:C27)</f>
        <v>343531.51952271326</v>
      </c>
      <c r="D28" s="11" t="s">
        <v>3</v>
      </c>
      <c r="E28" s="1"/>
    </row>
    <row r="29" spans="1:5" ht="15" customHeight="1" x14ac:dyDescent="0.25">
      <c r="A29" s="1"/>
      <c r="B29" s="25" t="s">
        <v>65</v>
      </c>
      <c r="C29" s="53"/>
      <c r="D29" s="19"/>
      <c r="E29" s="1"/>
    </row>
    <row r="30" spans="1:5" x14ac:dyDescent="0.25">
      <c r="A30" s="1"/>
      <c r="B30" s="58" t="s">
        <v>66</v>
      </c>
      <c r="C30" s="10">
        <f>'Fane 7. Kontrol af ØR2023'!C30</f>
        <v>-141999.51855561696</v>
      </c>
      <c r="D30" s="11" t="s">
        <v>3</v>
      </c>
      <c r="E30" s="1"/>
    </row>
    <row r="31" spans="1:5" x14ac:dyDescent="0.25">
      <c r="A31" s="1"/>
      <c r="B31" s="25" t="s">
        <v>70</v>
      </c>
      <c r="C31" s="53"/>
      <c r="D31" s="19"/>
      <c r="E31" s="1"/>
    </row>
    <row r="32" spans="1:5" x14ac:dyDescent="0.25">
      <c r="A32" s="1"/>
      <c r="B32" s="58" t="s">
        <v>71</v>
      </c>
      <c r="C32" s="10">
        <f>'Fane 8. Skattesagen'!C14</f>
        <v>0</v>
      </c>
      <c r="D32" s="11" t="s">
        <v>3</v>
      </c>
      <c r="E32" s="1"/>
    </row>
    <row r="33" spans="1:5" x14ac:dyDescent="0.25">
      <c r="A33" s="1"/>
      <c r="B33" s="52" t="s">
        <v>69</v>
      </c>
      <c r="C33" s="29">
        <f>SUM(C20,C22,C28,C30,C32)</f>
        <v>22694395.836437769</v>
      </c>
      <c r="D33" s="19" t="s">
        <v>3</v>
      </c>
      <c r="E33" s="1"/>
    </row>
    <row r="34" spans="1:5" x14ac:dyDescent="0.25">
      <c r="A34" s="1"/>
      <c r="B34" s="1" t="s">
        <v>82</v>
      </c>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TBV06JFDKOI8TjWZSZrSQDktz7fuWOdvPjTWYa7FabUs6tvmosSxCKuadm8ecyiMBHZSX1yArAeRmyl3vIghA==" saltValue="oTDNfA/0N/sNZtupT9eUKg==" spinCount="100000" sheet="1" objects="1" scenarios="1"/>
  <mergeCells count="1">
    <mergeCell ref="B3:D4"/>
  </mergeCells>
  <pageMargins left="0.70866141732283472" right="0.7086614173228347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4"/>
  <dimension ref="A1:E50"/>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28515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94" t="s">
        <v>129</v>
      </c>
      <c r="C3" s="94"/>
      <c r="D3" s="94"/>
      <c r="E3" s="1"/>
    </row>
    <row r="4" spans="1:5" ht="15" customHeight="1" x14ac:dyDescent="0.25">
      <c r="A4" s="1"/>
      <c r="B4" s="94"/>
      <c r="C4" s="94"/>
      <c r="D4" s="94"/>
      <c r="E4" s="1"/>
    </row>
    <row r="5" spans="1:5" x14ac:dyDescent="0.25">
      <c r="A5" s="1"/>
      <c r="B5" s="95"/>
      <c r="C5" s="95"/>
      <c r="D5" s="95"/>
      <c r="E5" s="1"/>
    </row>
    <row r="6" spans="1:5" x14ac:dyDescent="0.25">
      <c r="A6" s="1"/>
      <c r="B6" s="67"/>
      <c r="C6" s="67"/>
      <c r="D6" s="67"/>
      <c r="E6" s="1"/>
    </row>
    <row r="7" spans="1:5" x14ac:dyDescent="0.25">
      <c r="A7" s="1"/>
      <c r="B7" s="1"/>
      <c r="C7" s="1"/>
      <c r="D7" s="1"/>
      <c r="E7" s="1"/>
    </row>
    <row r="8" spans="1:5" x14ac:dyDescent="0.25">
      <c r="A8" s="1"/>
      <c r="B8" s="52" t="s">
        <v>12</v>
      </c>
      <c r="C8" s="53"/>
      <c r="D8" s="19"/>
      <c r="E8" s="1"/>
    </row>
    <row r="9" spans="1:5" ht="15" customHeight="1" x14ac:dyDescent="0.25">
      <c r="A9" s="1"/>
      <c r="B9" s="55" t="s">
        <v>72</v>
      </c>
      <c r="C9" s="7">
        <f>'Fane 2.1. Økonomisk ramme 2025'!C20</f>
        <v>14663734.365285918</v>
      </c>
      <c r="D9" s="8" t="s">
        <v>3</v>
      </c>
      <c r="E9" s="1"/>
    </row>
    <row r="10" spans="1:5" ht="15" customHeight="1" x14ac:dyDescent="0.25">
      <c r="A10" s="1"/>
      <c r="B10" s="47" t="s">
        <v>17</v>
      </c>
      <c r="C10" s="41">
        <f>C9*'Fane 13. Nøgletal'!C11</f>
        <v>972205.58841845638</v>
      </c>
      <c r="D10" s="8" t="s">
        <v>3</v>
      </c>
      <c r="E10" s="1"/>
    </row>
    <row r="11" spans="1:5" ht="15" customHeight="1" x14ac:dyDescent="0.25">
      <c r="A11" s="1"/>
      <c r="B11" s="47" t="s">
        <v>9</v>
      </c>
      <c r="C11" s="9">
        <f>-SUM(C9:C10)*'Fane 5. Individuelt eff. krav'!C9</f>
        <v>-235693.24287179325</v>
      </c>
      <c r="D11" s="8" t="s">
        <v>3</v>
      </c>
      <c r="E11" s="1"/>
    </row>
    <row r="12" spans="1:5" ht="15" customHeight="1" x14ac:dyDescent="0.25">
      <c r="A12" s="1"/>
      <c r="B12" s="47" t="s">
        <v>21</v>
      </c>
      <c r="C12" s="9">
        <f>-'Fane 4.1. Gen. krav - drift'!C22</f>
        <v>-167795.95764881873</v>
      </c>
      <c r="D12" s="8" t="s">
        <v>3</v>
      </c>
      <c r="E12" s="1"/>
    </row>
    <row r="13" spans="1:5" ht="15" customHeight="1" x14ac:dyDescent="0.25">
      <c r="A13" s="1"/>
      <c r="B13" s="47" t="s">
        <v>22</v>
      </c>
      <c r="C13" s="9">
        <f>-'Fane 4.2. Gen. krav - anlæg'!C22</f>
        <v>0</v>
      </c>
      <c r="D13" s="8" t="s">
        <v>3</v>
      </c>
      <c r="E13" s="1"/>
    </row>
    <row r="14" spans="1:5" ht="15" customHeight="1" x14ac:dyDescent="0.25">
      <c r="A14" s="1"/>
      <c r="B14" s="51" t="s">
        <v>19</v>
      </c>
      <c r="C14" s="10">
        <f>SUM(C9:C13)</f>
        <v>15232450.753183762</v>
      </c>
      <c r="D14" s="11" t="s">
        <v>3</v>
      </c>
      <c r="E14" s="1"/>
    </row>
    <row r="15" spans="1:5" x14ac:dyDescent="0.25">
      <c r="A15" s="1"/>
      <c r="B15" s="52" t="s">
        <v>11</v>
      </c>
      <c r="C15" s="53"/>
      <c r="D15" s="19"/>
      <c r="E15" s="1"/>
    </row>
    <row r="16" spans="1:5" ht="15" customHeight="1" x14ac:dyDescent="0.25">
      <c r="A16" s="1"/>
      <c r="B16" s="54" t="s">
        <v>11</v>
      </c>
      <c r="C16" s="10">
        <f>'Fane 6. Ikke-påvirkelige omk.'!C20*(1+'Fane 13. Nøgletal'!C11)</f>
        <v>8348200.7540580099</v>
      </c>
      <c r="D16" s="11" t="s">
        <v>3</v>
      </c>
      <c r="E16" s="1"/>
    </row>
    <row r="17" spans="1:5" x14ac:dyDescent="0.25">
      <c r="A17" s="1"/>
      <c r="B17" s="25" t="s">
        <v>65</v>
      </c>
      <c r="C17" s="53"/>
      <c r="D17" s="19"/>
      <c r="E17" s="1"/>
    </row>
    <row r="18" spans="1:5" ht="15" customHeight="1" x14ac:dyDescent="0.25">
      <c r="A18" s="1"/>
      <c r="B18" s="45" t="s">
        <v>66</v>
      </c>
      <c r="C18" s="10">
        <f>'Fane 7. Kontrol af ØR2023'!C30</f>
        <v>-141999.51855561696</v>
      </c>
      <c r="D18" s="11" t="s">
        <v>3</v>
      </c>
      <c r="E18" s="1"/>
    </row>
    <row r="19" spans="1:5" x14ac:dyDescent="0.25">
      <c r="A19" s="1"/>
      <c r="B19" s="25" t="s">
        <v>70</v>
      </c>
      <c r="C19" s="53"/>
      <c r="D19" s="19"/>
      <c r="E19" s="1"/>
    </row>
    <row r="20" spans="1:5" x14ac:dyDescent="0.25">
      <c r="A20" s="1"/>
      <c r="B20" s="58" t="s">
        <v>71</v>
      </c>
      <c r="C20" s="10">
        <f>'Fane 8. Skattesagen'!C15</f>
        <v>0</v>
      </c>
      <c r="D20" s="11" t="s">
        <v>3</v>
      </c>
      <c r="E20" s="1"/>
    </row>
    <row r="21" spans="1:5" x14ac:dyDescent="0.25">
      <c r="A21" s="1"/>
      <c r="B21" s="52" t="s">
        <v>73</v>
      </c>
      <c r="C21" s="12">
        <f>SUM(C14,C16,C18,C20)</f>
        <v>23438651.988686152</v>
      </c>
      <c r="D21" s="13" t="s">
        <v>3</v>
      </c>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KTMDxO9O+rMg0T7o+PMAjAx42cUse09UdClJsncUgH+SrppISBEBqP0CBNtWk6viku98VSgwJZnvIpjcqeykQw==" saltValue="r8c+Ksth8eDBUUHKU9Uc8A=="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EA0D23-1CF3-4FC4-9013-EC4F18E47887}">
  <sheetPr codeName="Ark3"/>
  <dimension ref="A1:E50"/>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28515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94" t="s">
        <v>130</v>
      </c>
      <c r="C3" s="94"/>
      <c r="D3" s="94"/>
      <c r="E3" s="1"/>
    </row>
    <row r="4" spans="1:5" ht="15" customHeight="1" x14ac:dyDescent="0.25">
      <c r="A4" s="1"/>
      <c r="B4" s="94"/>
      <c r="C4" s="94"/>
      <c r="D4" s="94"/>
      <c r="E4" s="1"/>
    </row>
    <row r="5" spans="1:5" x14ac:dyDescent="0.25">
      <c r="A5" s="1"/>
      <c r="B5" s="95" t="s">
        <v>20</v>
      </c>
      <c r="C5" s="95"/>
      <c r="D5" s="95"/>
      <c r="E5" s="1"/>
    </row>
    <row r="6" spans="1:5" x14ac:dyDescent="0.25">
      <c r="A6" s="1"/>
      <c r="B6" s="67"/>
      <c r="C6" s="67"/>
      <c r="D6" s="67"/>
      <c r="E6" s="1"/>
    </row>
    <row r="7" spans="1:5" x14ac:dyDescent="0.25">
      <c r="A7" s="1"/>
      <c r="B7" s="1"/>
      <c r="C7" s="1"/>
      <c r="D7" s="1"/>
      <c r="E7" s="1"/>
    </row>
    <row r="8" spans="1:5" x14ac:dyDescent="0.25">
      <c r="A8" s="1"/>
      <c r="B8" s="52" t="s">
        <v>12</v>
      </c>
      <c r="C8" s="53"/>
      <c r="D8" s="19"/>
      <c r="E8" s="1"/>
    </row>
    <row r="9" spans="1:5" ht="15" customHeight="1" x14ac:dyDescent="0.25">
      <c r="A9" s="1"/>
      <c r="B9" s="55" t="s">
        <v>108</v>
      </c>
      <c r="C9" s="7">
        <f>'Fane 2.2. Økonomisk ramme 2026'!C14</f>
        <v>15232450.753183762</v>
      </c>
      <c r="D9" s="8" t="s">
        <v>3</v>
      </c>
      <c r="E9" s="1"/>
    </row>
    <row r="10" spans="1:5" ht="15" customHeight="1" x14ac:dyDescent="0.25">
      <c r="A10" s="1"/>
      <c r="B10" s="47" t="s">
        <v>17</v>
      </c>
      <c r="C10" s="41">
        <f>C9*'Fane 13. Nøgletal'!C11</f>
        <v>1009911.4849360833</v>
      </c>
      <c r="D10" s="8" t="s">
        <v>3</v>
      </c>
      <c r="E10" s="1"/>
    </row>
    <row r="11" spans="1:5" ht="15" customHeight="1" x14ac:dyDescent="0.25">
      <c r="A11" s="1"/>
      <c r="B11" s="47" t="s">
        <v>9</v>
      </c>
      <c r="C11" s="9">
        <f>-SUM(C9:C10)*'Fane 5. Individuelt eff. krav'!C9</f>
        <v>-244834.33929367745</v>
      </c>
      <c r="D11" s="8" t="s">
        <v>3</v>
      </c>
      <c r="E11" s="1"/>
    </row>
    <row r="12" spans="1:5" ht="15" customHeight="1" x14ac:dyDescent="0.25">
      <c r="A12" s="1"/>
      <c r="B12" s="47" t="s">
        <v>21</v>
      </c>
      <c r="C12" s="9">
        <f>-'Fane 4.1. Gen. krav - drift'!C27</f>
        <v>-175342.41304811672</v>
      </c>
      <c r="D12" s="8" t="s">
        <v>3</v>
      </c>
      <c r="E12" s="1"/>
    </row>
    <row r="13" spans="1:5" ht="15" customHeight="1" x14ac:dyDescent="0.25">
      <c r="A13" s="1"/>
      <c r="B13" s="47" t="s">
        <v>22</v>
      </c>
      <c r="C13" s="9">
        <f>-'Fane 4.2. Gen. krav - anlæg'!C27</f>
        <v>0</v>
      </c>
      <c r="D13" s="8" t="s">
        <v>3</v>
      </c>
      <c r="E13" s="1"/>
    </row>
    <row r="14" spans="1:5" ht="15" customHeight="1" x14ac:dyDescent="0.25">
      <c r="A14" s="1"/>
      <c r="B14" s="51" t="s">
        <v>19</v>
      </c>
      <c r="C14" s="10">
        <f>SUM(C9:C13)</f>
        <v>15822185.48577805</v>
      </c>
      <c r="D14" s="11" t="s">
        <v>3</v>
      </c>
      <c r="E14" s="1"/>
    </row>
    <row r="15" spans="1:5" x14ac:dyDescent="0.25">
      <c r="A15" s="1"/>
      <c r="B15" s="52" t="s">
        <v>11</v>
      </c>
      <c r="C15" s="53"/>
      <c r="D15" s="19"/>
      <c r="E15" s="1"/>
    </row>
    <row r="16" spans="1:5" ht="15" customHeight="1" x14ac:dyDescent="0.25">
      <c r="A16" s="1"/>
      <c r="B16" s="54" t="s">
        <v>11</v>
      </c>
      <c r="C16" s="10">
        <f>'Fane 6. Ikke-påvirkelige omk.'!C20*(1+'Fane 13. Nøgletal'!C11)^2</f>
        <v>8901686.464052055</v>
      </c>
      <c r="D16" s="11" t="s">
        <v>3</v>
      </c>
      <c r="E16" s="1"/>
    </row>
    <row r="17" spans="1:5" x14ac:dyDescent="0.25">
      <c r="A17" s="1"/>
      <c r="B17" s="25" t="s">
        <v>65</v>
      </c>
      <c r="C17" s="53"/>
      <c r="D17" s="19"/>
      <c r="E17" s="1"/>
    </row>
    <row r="18" spans="1:5" ht="15" customHeight="1" x14ac:dyDescent="0.25">
      <c r="A18" s="1"/>
      <c r="B18" s="45" t="s">
        <v>66</v>
      </c>
      <c r="C18" s="10">
        <v>0</v>
      </c>
      <c r="D18" s="11" t="s">
        <v>3</v>
      </c>
      <c r="E18" s="1"/>
    </row>
    <row r="19" spans="1:5" x14ac:dyDescent="0.25">
      <c r="A19" s="1"/>
      <c r="B19" s="52" t="s">
        <v>70</v>
      </c>
      <c r="C19" s="53"/>
      <c r="D19" s="19"/>
      <c r="E19" s="1"/>
    </row>
    <row r="20" spans="1:5" x14ac:dyDescent="0.25">
      <c r="A20" s="1"/>
      <c r="B20" s="58" t="s">
        <v>71</v>
      </c>
      <c r="C20" s="10">
        <f>'Fane 8. Skattesagen'!C16</f>
        <v>0</v>
      </c>
      <c r="D20" s="11" t="s">
        <v>3</v>
      </c>
      <c r="E20" s="1"/>
    </row>
    <row r="21" spans="1:5" x14ac:dyDescent="0.25">
      <c r="A21" s="1"/>
      <c r="B21" s="52" t="s">
        <v>109</v>
      </c>
      <c r="C21" s="12">
        <f>SUM(C14,C16,C18,C20)</f>
        <v>24723871.949830107</v>
      </c>
      <c r="D21" s="13" t="s">
        <v>3</v>
      </c>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h+drymwwHyAsRGR4QHFCsoKM0EE16g4WsqAzy2E+GgP2s/RqqG3Ngpi0ON5iC8GjRJjMa29UMgU4cjLiysLgEw==" saltValue="h+6dklMdDgdXAKUarphLXQ=="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6"/>
  <dimension ref="A1:E50"/>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28515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94" t="s">
        <v>131</v>
      </c>
      <c r="C3" s="94"/>
      <c r="D3" s="94"/>
      <c r="E3" s="1"/>
    </row>
    <row r="4" spans="1:5" ht="15" customHeight="1" x14ac:dyDescent="0.25">
      <c r="A4" s="1"/>
      <c r="B4" s="94"/>
      <c r="C4" s="94"/>
      <c r="D4" s="94"/>
      <c r="E4" s="1"/>
    </row>
    <row r="5" spans="1:5" x14ac:dyDescent="0.25">
      <c r="A5" s="1"/>
      <c r="B5" s="95" t="s">
        <v>20</v>
      </c>
      <c r="C5" s="95"/>
      <c r="D5" s="95"/>
      <c r="E5" s="1"/>
    </row>
    <row r="6" spans="1:5" x14ac:dyDescent="0.25">
      <c r="A6" s="1"/>
      <c r="B6" s="67"/>
      <c r="C6" s="67"/>
      <c r="D6" s="67"/>
      <c r="E6" s="1"/>
    </row>
    <row r="7" spans="1:5" x14ac:dyDescent="0.25">
      <c r="A7" s="1"/>
      <c r="B7" s="1"/>
      <c r="C7" s="1"/>
      <c r="D7" s="1"/>
      <c r="E7" s="1"/>
    </row>
    <row r="8" spans="1:5" x14ac:dyDescent="0.25">
      <c r="A8" s="1"/>
      <c r="B8" s="52" t="s">
        <v>12</v>
      </c>
      <c r="C8" s="53"/>
      <c r="D8" s="19"/>
      <c r="E8" s="1"/>
    </row>
    <row r="9" spans="1:5" ht="15" customHeight="1" x14ac:dyDescent="0.25">
      <c r="A9" s="1"/>
      <c r="B9" s="55" t="s">
        <v>132</v>
      </c>
      <c r="C9" s="7">
        <f>'Fane 2.3. Økonomisk ramme 2027'!C14</f>
        <v>15822185.48577805</v>
      </c>
      <c r="D9" s="8" t="s">
        <v>3</v>
      </c>
      <c r="E9" s="1"/>
    </row>
    <row r="10" spans="1:5" ht="15" customHeight="1" x14ac:dyDescent="0.25">
      <c r="A10" s="1"/>
      <c r="B10" s="47" t="s">
        <v>17</v>
      </c>
      <c r="C10" s="9">
        <f>C9*'Fane 13. Nøgletal'!C11</f>
        <v>1049010.8977070847</v>
      </c>
      <c r="D10" s="8" t="s">
        <v>3</v>
      </c>
      <c r="E10" s="1"/>
    </row>
    <row r="11" spans="1:5" ht="15" customHeight="1" x14ac:dyDescent="0.25">
      <c r="A11" s="1"/>
      <c r="B11" s="47" t="s">
        <v>9</v>
      </c>
      <c r="C11" s="9">
        <f>-SUM(C9:C10)*'Fane 5. Individuelt eff. krav'!C9</f>
        <v>-254313.26792786835</v>
      </c>
      <c r="D11" s="8" t="s">
        <v>3</v>
      </c>
      <c r="E11" s="1"/>
    </row>
    <row r="12" spans="1:5" ht="15" customHeight="1" x14ac:dyDescent="0.25">
      <c r="A12" s="1"/>
      <c r="B12" s="47" t="s">
        <v>21</v>
      </c>
      <c r="C12" s="9">
        <f>-'Fane 4.1. Gen. krav - drift'!C32</f>
        <v>-183228.26273254273</v>
      </c>
      <c r="D12" s="8" t="s">
        <v>3</v>
      </c>
      <c r="E12" s="1"/>
    </row>
    <row r="13" spans="1:5" ht="15" customHeight="1" x14ac:dyDescent="0.25">
      <c r="A13" s="1"/>
      <c r="B13" s="47" t="s">
        <v>22</v>
      </c>
      <c r="C13" s="9">
        <f>-'Fane 4.2. Gen. krav - anlæg'!C32</f>
        <v>0</v>
      </c>
      <c r="D13" s="8" t="s">
        <v>3</v>
      </c>
      <c r="E13" s="1"/>
    </row>
    <row r="14" spans="1:5" x14ac:dyDescent="0.25">
      <c r="A14" s="1"/>
      <c r="B14" s="51" t="s">
        <v>19</v>
      </c>
      <c r="C14" s="10">
        <f>SUM(C9:C13)</f>
        <v>16433654.852824723</v>
      </c>
      <c r="D14" s="11" t="s">
        <v>3</v>
      </c>
      <c r="E14" s="1"/>
    </row>
    <row r="15" spans="1:5" x14ac:dyDescent="0.25">
      <c r="A15" s="1"/>
      <c r="B15" s="52" t="s">
        <v>11</v>
      </c>
      <c r="C15" s="53"/>
      <c r="D15" s="19"/>
      <c r="E15" s="1"/>
    </row>
    <row r="16" spans="1:5" ht="15" customHeight="1" x14ac:dyDescent="0.25">
      <c r="A16" s="1"/>
      <c r="B16" s="54" t="s">
        <v>11</v>
      </c>
      <c r="C16" s="10">
        <f>'Fane 6. Ikke-påvirkelige omk.'!C20*(1+'Fane 13. Nøgletal'!C11)^3</f>
        <v>9491868.2766187079</v>
      </c>
      <c r="D16" s="11" t="s">
        <v>3</v>
      </c>
      <c r="E16" s="1"/>
    </row>
    <row r="17" spans="1:5" x14ac:dyDescent="0.25">
      <c r="A17" s="1"/>
      <c r="B17" s="25" t="s">
        <v>70</v>
      </c>
      <c r="C17" s="53"/>
      <c r="D17" s="19"/>
      <c r="E17" s="1"/>
    </row>
    <row r="18" spans="1:5" x14ac:dyDescent="0.25">
      <c r="A18" s="1"/>
      <c r="B18" s="58" t="s">
        <v>71</v>
      </c>
      <c r="C18" s="10">
        <f>'Fane 8. Skattesagen'!C17</f>
        <v>0</v>
      </c>
      <c r="D18" s="11" t="s">
        <v>3</v>
      </c>
      <c r="E18" s="1"/>
    </row>
    <row r="19" spans="1:5" x14ac:dyDescent="0.25">
      <c r="A19" s="1"/>
      <c r="B19" s="52" t="s">
        <v>133</v>
      </c>
      <c r="C19" s="12">
        <f>SUM(C14,C16,C18)</f>
        <v>25925523.129443429</v>
      </c>
      <c r="D19" s="13" t="s">
        <v>3</v>
      </c>
      <c r="E19" s="1"/>
    </row>
    <row r="20" spans="1:5" x14ac:dyDescent="0.25">
      <c r="A20" s="1"/>
      <c r="B20" s="1"/>
      <c r="C20" s="1"/>
      <c r="D20" s="1"/>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XMA2lyCvB6nFtbFQGgKlxSoVfPwJgGU65yXC1P2ASVonbzTa2F8I5sJSxNikD6NmhwLUd/qSTYf7Xp1jzXDYEg==" saltValue="Y12jh2TLugQ/0uanN/JBqQ=="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7"/>
  <dimension ref="A1:E50"/>
  <sheetViews>
    <sheetView showGridLines="0" zoomScaleNormal="100" workbookViewId="0"/>
  </sheetViews>
  <sheetFormatPr defaultColWidth="0" defaultRowHeight="15" zeroHeight="1" x14ac:dyDescent="0.25"/>
  <cols>
    <col min="1" max="1" width="6.5703125" style="2" customWidth="1"/>
    <col min="2" max="2" width="56.7109375" style="2" customWidth="1"/>
    <col min="3" max="3" width="12.7109375" style="2" bestFit="1" customWidth="1"/>
    <col min="4" max="4" width="3" style="2" customWidth="1"/>
    <col min="5" max="5" width="6.28515625" style="2" customWidth="1"/>
    <col min="6" max="16384" width="9.140625" style="2" hidden="1"/>
  </cols>
  <sheetData>
    <row r="1" spans="1:5" x14ac:dyDescent="0.25">
      <c r="A1" s="1"/>
      <c r="B1" s="1"/>
      <c r="C1" s="1"/>
      <c r="D1" s="1"/>
      <c r="E1" s="1"/>
    </row>
    <row r="2" spans="1:5" x14ac:dyDescent="0.25">
      <c r="A2" s="1"/>
      <c r="B2" s="1"/>
      <c r="C2" s="1"/>
      <c r="D2" s="1"/>
      <c r="E2" s="1"/>
    </row>
    <row r="3" spans="1:5" ht="24.95" customHeight="1" x14ac:dyDescent="0.25">
      <c r="A3" s="1"/>
      <c r="B3" s="96" t="s">
        <v>134</v>
      </c>
      <c r="C3" s="96"/>
      <c r="D3" s="96"/>
      <c r="E3" s="1"/>
    </row>
    <row r="4" spans="1:5" ht="15" customHeight="1" x14ac:dyDescent="0.25">
      <c r="A4" s="1"/>
      <c r="B4" s="96"/>
      <c r="C4" s="96"/>
      <c r="D4" s="96"/>
      <c r="E4" s="1"/>
    </row>
    <row r="5" spans="1:5" ht="15" customHeight="1" x14ac:dyDescent="0.25">
      <c r="A5" s="1"/>
      <c r="B5" s="68"/>
      <c r="C5" s="68"/>
      <c r="D5" s="68"/>
      <c r="E5" s="1"/>
    </row>
    <row r="6" spans="1:5" ht="15" customHeight="1" x14ac:dyDescent="0.25">
      <c r="A6" s="1"/>
      <c r="B6" s="1"/>
      <c r="C6" s="1"/>
      <c r="D6" s="1"/>
      <c r="E6" s="1"/>
    </row>
    <row r="7" spans="1:5" x14ac:dyDescent="0.25">
      <c r="A7" s="1"/>
      <c r="B7" s="1"/>
      <c r="C7" s="1"/>
      <c r="D7" s="1"/>
      <c r="E7" s="1"/>
    </row>
    <row r="8" spans="1:5" x14ac:dyDescent="0.25">
      <c r="A8" s="1"/>
      <c r="B8" s="52" t="s">
        <v>135</v>
      </c>
      <c r="C8" s="53"/>
      <c r="D8" s="19"/>
      <c r="E8" s="1"/>
    </row>
    <row r="9" spans="1:5" x14ac:dyDescent="0.25">
      <c r="A9" s="1"/>
      <c r="B9" s="55" t="s">
        <v>63</v>
      </c>
      <c r="C9" s="7">
        <v>12965373.180004375</v>
      </c>
      <c r="D9" s="8" t="s">
        <v>3</v>
      </c>
      <c r="E9" s="1"/>
    </row>
    <row r="10" spans="1:5" x14ac:dyDescent="0.25">
      <c r="A10" s="1"/>
      <c r="B10" s="24" t="s">
        <v>32</v>
      </c>
      <c r="C10" s="7">
        <v>405265.41440000001</v>
      </c>
      <c r="D10" s="8" t="s">
        <v>3</v>
      </c>
      <c r="E10" s="1"/>
    </row>
    <row r="11" spans="1:5" ht="15" customHeight="1" x14ac:dyDescent="0.25">
      <c r="A11" s="1"/>
      <c r="B11" s="24" t="s">
        <v>33</v>
      </c>
      <c r="C11" s="9">
        <v>79409.910215999989</v>
      </c>
      <c r="D11" s="8" t="s">
        <v>3</v>
      </c>
      <c r="E11" s="1"/>
    </row>
    <row r="12" spans="1:5" ht="15" customHeight="1" x14ac:dyDescent="0.25">
      <c r="A12" s="1"/>
      <c r="B12" s="24" t="s">
        <v>24</v>
      </c>
      <c r="C12" s="9">
        <v>0</v>
      </c>
      <c r="D12" s="8" t="s">
        <v>3</v>
      </c>
      <c r="E12" s="1"/>
    </row>
    <row r="13" spans="1:5" x14ac:dyDescent="0.25">
      <c r="A13" s="1"/>
      <c r="B13" s="24" t="s">
        <v>23</v>
      </c>
      <c r="C13" s="9">
        <v>0</v>
      </c>
      <c r="D13" s="8" t="s">
        <v>3</v>
      </c>
      <c r="E13" s="1"/>
    </row>
    <row r="14" spans="1:5" x14ac:dyDescent="0.25">
      <c r="A14" s="1"/>
      <c r="B14" s="24" t="s">
        <v>61</v>
      </c>
      <c r="C14" s="9">
        <v>0</v>
      </c>
      <c r="D14" s="8" t="s">
        <v>3</v>
      </c>
      <c r="E14" s="1"/>
    </row>
    <row r="15" spans="1:5" x14ac:dyDescent="0.25">
      <c r="A15" s="1"/>
      <c r="B15" s="24" t="s">
        <v>62</v>
      </c>
      <c r="C15" s="9">
        <v>0</v>
      </c>
      <c r="D15" s="8" t="s">
        <v>3</v>
      </c>
      <c r="E15" s="1"/>
    </row>
    <row r="16" spans="1:5" x14ac:dyDescent="0.25">
      <c r="A16" s="1"/>
      <c r="B16" s="24" t="s">
        <v>17</v>
      </c>
      <c r="C16" s="9">
        <v>500729.05143712857</v>
      </c>
      <c r="D16" s="8" t="s">
        <v>3</v>
      </c>
      <c r="E16" s="1"/>
    </row>
    <row r="17" spans="1:5" x14ac:dyDescent="0.25">
      <c r="A17" s="1"/>
      <c r="B17" s="24" t="s">
        <v>9</v>
      </c>
      <c r="C17" s="9">
        <v>-279015.55112115009</v>
      </c>
      <c r="D17" s="8" t="s">
        <v>3</v>
      </c>
      <c r="E17" s="1"/>
    </row>
    <row r="18" spans="1:5" x14ac:dyDescent="0.25">
      <c r="A18" s="1"/>
      <c r="B18" s="24" t="s">
        <v>21</v>
      </c>
      <c r="C18" s="9">
        <v>-145329.48597761922</v>
      </c>
      <c r="D18" s="8" t="s">
        <v>3</v>
      </c>
      <c r="E18" s="1"/>
    </row>
    <row r="19" spans="1:5" x14ac:dyDescent="0.25">
      <c r="A19" s="1"/>
      <c r="B19" s="24" t="s">
        <v>22</v>
      </c>
      <c r="C19" s="9">
        <v>0</v>
      </c>
      <c r="D19" s="8" t="s">
        <v>3</v>
      </c>
      <c r="E19" s="1"/>
    </row>
    <row r="20" spans="1:5" x14ac:dyDescent="0.25">
      <c r="A20" s="1"/>
      <c r="B20" s="74" t="s">
        <v>19</v>
      </c>
      <c r="C20" s="10">
        <v>13526432.518958734</v>
      </c>
      <c r="D20" s="11" t="s">
        <v>3</v>
      </c>
      <c r="E20" s="1"/>
    </row>
    <row r="21" spans="1:5" x14ac:dyDescent="0.25">
      <c r="A21" s="1"/>
      <c r="B21" s="52" t="s">
        <v>11</v>
      </c>
      <c r="C21" s="53"/>
      <c r="D21" s="19"/>
      <c r="E21" s="1"/>
    </row>
    <row r="22" spans="1:5" x14ac:dyDescent="0.25">
      <c r="A22" s="1"/>
      <c r="B22" s="54" t="s">
        <v>11</v>
      </c>
      <c r="C22" s="10">
        <v>6124868.919836889</v>
      </c>
      <c r="D22" s="11" t="s">
        <v>3</v>
      </c>
      <c r="E22" s="1"/>
    </row>
    <row r="23" spans="1:5" x14ac:dyDescent="0.25">
      <c r="A23" s="1"/>
      <c r="B23" s="52" t="s">
        <v>39</v>
      </c>
      <c r="C23" s="53"/>
      <c r="D23" s="19"/>
      <c r="E23" s="1"/>
    </row>
    <row r="24" spans="1:5" ht="15" customHeight="1" x14ac:dyDescent="0.25">
      <c r="A24" s="1"/>
      <c r="B24" s="24" t="s">
        <v>35</v>
      </c>
      <c r="C24" s="9">
        <v>0</v>
      </c>
      <c r="D24" s="8" t="s">
        <v>3</v>
      </c>
      <c r="E24" s="1"/>
    </row>
    <row r="25" spans="1:5" ht="14.25" customHeight="1" x14ac:dyDescent="0.25">
      <c r="A25" s="1"/>
      <c r="B25" s="24" t="s">
        <v>36</v>
      </c>
      <c r="C25" s="9">
        <v>0</v>
      </c>
      <c r="D25" s="8" t="s">
        <v>3</v>
      </c>
      <c r="E25" s="1"/>
    </row>
    <row r="26" spans="1:5" ht="14.25" customHeight="1" x14ac:dyDescent="0.25">
      <c r="A26" s="1"/>
      <c r="B26" s="24" t="s">
        <v>79</v>
      </c>
      <c r="C26" s="9">
        <v>0</v>
      </c>
      <c r="D26" s="8" t="s">
        <v>3</v>
      </c>
      <c r="E26" s="1"/>
    </row>
    <row r="27" spans="1:5" ht="14.25" customHeight="1" x14ac:dyDescent="0.25">
      <c r="A27" s="1"/>
      <c r="B27" s="24" t="s">
        <v>80</v>
      </c>
      <c r="C27" s="9">
        <v>0</v>
      </c>
      <c r="D27" s="8" t="s">
        <v>3</v>
      </c>
      <c r="E27" s="1"/>
    </row>
    <row r="28" spans="1:5" ht="14.25" customHeight="1" x14ac:dyDescent="0.25">
      <c r="A28" s="1"/>
      <c r="B28" s="74" t="s">
        <v>40</v>
      </c>
      <c r="C28" s="10">
        <v>0</v>
      </c>
      <c r="D28" s="11" t="s">
        <v>3</v>
      </c>
      <c r="E28" s="1"/>
    </row>
    <row r="29" spans="1:5" x14ac:dyDescent="0.25">
      <c r="A29" s="1"/>
      <c r="B29" s="25" t="s">
        <v>65</v>
      </c>
      <c r="C29" s="53"/>
      <c r="D29" s="19"/>
      <c r="E29" s="1"/>
    </row>
    <row r="30" spans="1:5" x14ac:dyDescent="0.25">
      <c r="A30" s="1"/>
      <c r="B30" s="58" t="s">
        <v>66</v>
      </c>
      <c r="C30" s="10">
        <v>93.165904548019171</v>
      </c>
      <c r="D30" s="11" t="s">
        <v>3</v>
      </c>
      <c r="E30" s="1"/>
    </row>
    <row r="31" spans="1:5" ht="15" customHeight="1" x14ac:dyDescent="0.25">
      <c r="A31" s="1"/>
      <c r="B31" s="25" t="s">
        <v>70</v>
      </c>
      <c r="C31" s="53"/>
      <c r="D31" s="19"/>
      <c r="E31" s="1"/>
    </row>
    <row r="32" spans="1:5" ht="15.6" customHeight="1" x14ac:dyDescent="0.25">
      <c r="A32" s="1"/>
      <c r="B32" s="58" t="s">
        <v>71</v>
      </c>
      <c r="C32" s="10">
        <v>0</v>
      </c>
      <c r="D32" s="11" t="s">
        <v>3</v>
      </c>
      <c r="E32" s="1"/>
    </row>
    <row r="33" spans="1:5" ht="15.6" customHeight="1" x14ac:dyDescent="0.25">
      <c r="A33" s="1"/>
      <c r="B33" s="52" t="s">
        <v>67</v>
      </c>
      <c r="C33" s="29">
        <v>19651394.60470017</v>
      </c>
      <c r="D33" s="19" t="s">
        <v>3</v>
      </c>
      <c r="E33" s="1"/>
    </row>
    <row r="34" spans="1:5" ht="30" customHeight="1" x14ac:dyDescent="0.25">
      <c r="A34" s="1"/>
      <c r="B34" s="97" t="s">
        <v>193</v>
      </c>
      <c r="C34" s="97"/>
      <c r="D34" s="97"/>
      <c r="E34" s="1"/>
    </row>
    <row r="35" spans="1:5" ht="27.75" customHeight="1"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hidden="1" x14ac:dyDescent="0.25"/>
  </sheetData>
  <sheetProtection algorithmName="SHA-512" hashValue="PKyLXFbKqBl525kI/sla8CJC0vNT1Gg26+2M46PIUxWHPqU5p7oVncH30aVaaQ93TcyCkCnO7IwI7G0xyPMuEA==" saltValue="NKIznOfMH6RUr1b1BCOqEw==" spinCount="100000" sheet="1" objects="1" scenarios="1"/>
  <mergeCells count="2">
    <mergeCell ref="B3:D4"/>
    <mergeCell ref="B34:D34"/>
  </mergeCells>
  <pageMargins left="0.70866141732283461" right="0.70866141732283461" top="0.74803149606299213" bottom="0.74803149606299213"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8"/>
  <dimension ref="A1:E50"/>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33"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32"/>
      <c r="D2" s="1"/>
      <c r="E2" s="1"/>
    </row>
    <row r="3" spans="1:5" ht="15" customHeight="1" x14ac:dyDescent="0.25">
      <c r="A3" s="1"/>
      <c r="B3" s="96" t="s">
        <v>53</v>
      </c>
      <c r="C3" s="96"/>
      <c r="D3" s="96"/>
      <c r="E3" s="1"/>
    </row>
    <row r="4" spans="1:5" ht="15" customHeight="1" x14ac:dyDescent="0.25">
      <c r="A4" s="1"/>
      <c r="B4" s="96"/>
      <c r="C4" s="96"/>
      <c r="D4" s="96"/>
      <c r="E4" s="1"/>
    </row>
    <row r="5" spans="1:5" ht="15" customHeight="1" x14ac:dyDescent="0.25">
      <c r="A5" s="1"/>
      <c r="B5" s="96"/>
      <c r="C5" s="96"/>
      <c r="D5" s="96"/>
      <c r="E5" s="1"/>
    </row>
    <row r="6" spans="1:5" ht="15" customHeight="1" x14ac:dyDescent="0.25">
      <c r="A6" s="1"/>
      <c r="B6" s="68"/>
      <c r="C6" s="68"/>
      <c r="D6" s="68"/>
      <c r="E6" s="1"/>
    </row>
    <row r="7" spans="1:5" x14ac:dyDescent="0.25">
      <c r="A7" s="1"/>
      <c r="B7" s="1"/>
      <c r="C7" s="32"/>
      <c r="D7" s="1"/>
      <c r="E7" s="1"/>
    </row>
    <row r="8" spans="1:5" x14ac:dyDescent="0.25">
      <c r="A8" s="1"/>
      <c r="B8" s="98" t="s">
        <v>75</v>
      </c>
      <c r="C8" s="99"/>
      <c r="D8" s="100"/>
      <c r="E8" s="1"/>
    </row>
    <row r="9" spans="1:5" x14ac:dyDescent="0.25">
      <c r="A9" s="1"/>
      <c r="B9" s="56" t="s">
        <v>167</v>
      </c>
      <c r="C9" s="22">
        <v>6828463.438997441</v>
      </c>
      <c r="D9" s="14" t="s">
        <v>3</v>
      </c>
      <c r="E9" s="1"/>
    </row>
    <row r="10" spans="1:5" x14ac:dyDescent="0.25">
      <c r="A10" s="1"/>
      <c r="B10" s="56" t="s">
        <v>110</v>
      </c>
      <c r="C10" s="22">
        <f>('Fane 3. Omkostninger i ØR2024'!C10+'Fane 3. Omkostninger i ØR2024'!C12+'Fane 3. Omkostninger i ØR2024'!C14)*(1+'Fane 13. Nøgletal'!C10)</f>
        <v>438010.85988352</v>
      </c>
      <c r="D10" s="14" t="s">
        <v>3</v>
      </c>
      <c r="E10" s="1"/>
    </row>
    <row r="11" spans="1:5" x14ac:dyDescent="0.25">
      <c r="A11" s="1"/>
      <c r="B11" s="56" t="s">
        <v>81</v>
      </c>
      <c r="C11" s="22">
        <f>C9*'Fane 13. Nøgletal'!C23+C10*'Fane 13. Nøgletal'!C23</f>
        <v>145329.48597761922</v>
      </c>
      <c r="D11" s="14" t="s">
        <v>3</v>
      </c>
      <c r="E11" s="1"/>
    </row>
    <row r="12" spans="1:5" x14ac:dyDescent="0.25">
      <c r="A12" s="1"/>
      <c r="B12" s="52"/>
      <c r="C12" s="31"/>
      <c r="D12" s="19"/>
      <c r="E12" s="1"/>
    </row>
    <row r="13" spans="1:5" x14ac:dyDescent="0.25">
      <c r="A13" s="1"/>
      <c r="B13" s="1"/>
      <c r="C13" s="32"/>
      <c r="D13" s="1"/>
      <c r="E13" s="1"/>
    </row>
    <row r="14" spans="1:5" x14ac:dyDescent="0.25">
      <c r="A14" s="1"/>
      <c r="B14" s="98" t="s">
        <v>153</v>
      </c>
      <c r="C14" s="99"/>
      <c r="D14" s="100"/>
      <c r="E14" s="1"/>
    </row>
    <row r="15" spans="1:5" x14ac:dyDescent="0.25">
      <c r="A15" s="1"/>
      <c r="B15" s="56" t="s">
        <v>168</v>
      </c>
      <c r="C15" s="22">
        <f>(C9+C10-C11)*(1+'Fane 13. Nøgletal'!C11)</f>
        <v>7593276.7139988337</v>
      </c>
      <c r="D15" s="14" t="s">
        <v>3</v>
      </c>
      <c r="E15" s="1"/>
    </row>
    <row r="16" spans="1:5" x14ac:dyDescent="0.25">
      <c r="A16" s="1"/>
      <c r="B16" s="56" t="s">
        <v>154</v>
      </c>
      <c r="C16" s="22">
        <f>('Fane 2.1. Økonomisk ramme 2025'!C10+'Fane 2.1. Økonomisk ramme 2025'!C12+'Fane 2.1. Økonomisk ramme 2025'!C14)*(1+'Fane 13. Nøgletal'!C11)</f>
        <v>435437.76352973178</v>
      </c>
      <c r="D16" s="14" t="s">
        <v>3</v>
      </c>
      <c r="E16" s="1"/>
    </row>
    <row r="17" spans="1:5" x14ac:dyDescent="0.25">
      <c r="A17" s="1"/>
      <c r="B17" s="56" t="s">
        <v>155</v>
      </c>
      <c r="C17" s="22">
        <f>(C15+C16)*'Fane 13. Nøgletal'!C23</f>
        <v>160574.28955057132</v>
      </c>
      <c r="D17" s="14" t="s">
        <v>3</v>
      </c>
      <c r="E17" s="1"/>
    </row>
    <row r="18" spans="1:5" x14ac:dyDescent="0.25">
      <c r="A18" s="1"/>
      <c r="B18" s="52"/>
      <c r="C18" s="31"/>
      <c r="D18" s="19"/>
      <c r="E18" s="1"/>
    </row>
    <row r="19" spans="1:5" x14ac:dyDescent="0.25">
      <c r="A19" s="1"/>
      <c r="B19" s="1"/>
      <c r="C19" s="32"/>
      <c r="D19" s="1"/>
      <c r="E19" s="1"/>
    </row>
    <row r="20" spans="1:5" x14ac:dyDescent="0.25">
      <c r="A20" s="1"/>
      <c r="B20" s="98" t="s">
        <v>170</v>
      </c>
      <c r="C20" s="99"/>
      <c r="D20" s="100"/>
      <c r="E20" s="1"/>
    </row>
    <row r="21" spans="1:5" x14ac:dyDescent="0.25">
      <c r="A21" s="1"/>
      <c r="B21" s="56" t="s">
        <v>169</v>
      </c>
      <c r="C21" s="48">
        <f>(C15+C16-C17)*(1+'Fane 13. Nøgletal'!C11)</f>
        <v>8389797.8824409358</v>
      </c>
      <c r="D21" s="14" t="s">
        <v>3</v>
      </c>
      <c r="E21" s="1"/>
    </row>
    <row r="22" spans="1:5" x14ac:dyDescent="0.25">
      <c r="A22" s="1"/>
      <c r="B22" s="56" t="s">
        <v>171</v>
      </c>
      <c r="C22" s="48">
        <f>(C21)*'Fane 13. Nøgletal'!C23</f>
        <v>167795.95764881873</v>
      </c>
      <c r="D22" s="14" t="s">
        <v>3</v>
      </c>
      <c r="E22" s="1"/>
    </row>
    <row r="23" spans="1:5" x14ac:dyDescent="0.25">
      <c r="A23" s="1"/>
      <c r="B23" s="52"/>
      <c r="C23" s="31"/>
      <c r="D23" s="19"/>
      <c r="E23" s="1"/>
    </row>
    <row r="24" spans="1:5" x14ac:dyDescent="0.25">
      <c r="A24" s="1"/>
      <c r="B24" s="1"/>
      <c r="C24" s="32"/>
      <c r="D24" s="1"/>
      <c r="E24" s="1"/>
    </row>
    <row r="25" spans="1:5" x14ac:dyDescent="0.25">
      <c r="A25" s="1"/>
      <c r="B25" s="98" t="s">
        <v>116</v>
      </c>
      <c r="C25" s="99"/>
      <c r="D25" s="100"/>
      <c r="E25" s="1"/>
    </row>
    <row r="26" spans="1:5" x14ac:dyDescent="0.25">
      <c r="A26" s="1"/>
      <c r="B26" s="56" t="s">
        <v>117</v>
      </c>
      <c r="C26" s="48">
        <f>(C21-C22)*(1+'Fane 13. Nøgletal'!C11)</f>
        <v>8767120.6524058357</v>
      </c>
      <c r="D26" s="14" t="s">
        <v>3</v>
      </c>
      <c r="E26" s="1"/>
    </row>
    <row r="27" spans="1:5" x14ac:dyDescent="0.25">
      <c r="A27" s="1"/>
      <c r="B27" s="56" t="s">
        <v>118</v>
      </c>
      <c r="C27" s="48">
        <f>(C26)*'Fane 13. Nøgletal'!C23</f>
        <v>175342.41304811672</v>
      </c>
      <c r="D27" s="14" t="s">
        <v>3</v>
      </c>
      <c r="E27" s="1"/>
    </row>
    <row r="28" spans="1:5" x14ac:dyDescent="0.25">
      <c r="A28" s="1"/>
      <c r="B28" s="52"/>
      <c r="C28" s="42"/>
      <c r="D28" s="19"/>
      <c r="E28" s="1"/>
    </row>
    <row r="29" spans="1:5" x14ac:dyDescent="0.25">
      <c r="A29" s="1"/>
      <c r="B29" s="1"/>
      <c r="C29" s="32"/>
      <c r="D29" s="1"/>
      <c r="E29" s="1"/>
    </row>
    <row r="30" spans="1:5" x14ac:dyDescent="0.25">
      <c r="A30" s="1"/>
      <c r="B30" s="98" t="s">
        <v>136</v>
      </c>
      <c r="C30" s="99"/>
      <c r="D30" s="100"/>
      <c r="E30" s="1"/>
    </row>
    <row r="31" spans="1:5" x14ac:dyDescent="0.25">
      <c r="A31" s="1"/>
      <c r="B31" s="56" t="s">
        <v>137</v>
      </c>
      <c r="C31" s="48">
        <f>(C26-C27)*(1+'Fane 13. Nøgletal'!C11)</f>
        <v>9161413.1366271358</v>
      </c>
      <c r="D31" s="14" t="s">
        <v>3</v>
      </c>
      <c r="E31" s="1"/>
    </row>
    <row r="32" spans="1:5" x14ac:dyDescent="0.25">
      <c r="A32" s="1"/>
      <c r="B32" s="56" t="s">
        <v>138</v>
      </c>
      <c r="C32" s="48">
        <f>(C31)*'Fane 13. Nøgletal'!C23</f>
        <v>183228.26273254273</v>
      </c>
      <c r="D32" s="14" t="s">
        <v>3</v>
      </c>
      <c r="E32" s="1"/>
    </row>
    <row r="33" spans="1:5" x14ac:dyDescent="0.25">
      <c r="A33" s="1"/>
      <c r="B33" s="52"/>
      <c r="C33" s="42"/>
      <c r="D33" s="19"/>
      <c r="E33" s="1"/>
    </row>
    <row r="34" spans="1:5" x14ac:dyDescent="0.25">
      <c r="A34" s="1"/>
      <c r="B34" s="1"/>
      <c r="C34" s="32"/>
      <c r="D34" s="1"/>
      <c r="E34" s="1"/>
    </row>
    <row r="35" spans="1:5" x14ac:dyDescent="0.25">
      <c r="A35" s="1"/>
      <c r="B35" s="1"/>
      <c r="C35" s="32"/>
      <c r="D35" s="1"/>
      <c r="E35" s="1"/>
    </row>
    <row r="36" spans="1:5" x14ac:dyDescent="0.25">
      <c r="A36" s="1"/>
      <c r="B36" s="1"/>
      <c r="C36" s="32"/>
      <c r="D36" s="1"/>
      <c r="E36" s="1"/>
    </row>
    <row r="37" spans="1:5" x14ac:dyDescent="0.25">
      <c r="A37" s="1"/>
      <c r="B37" s="1"/>
      <c r="C37" s="32"/>
      <c r="D37" s="1"/>
      <c r="E37" s="1"/>
    </row>
    <row r="38" spans="1:5" x14ac:dyDescent="0.25">
      <c r="A38" s="1"/>
      <c r="B38" s="1"/>
      <c r="C38" s="32"/>
      <c r="D38" s="1"/>
      <c r="E38" s="1"/>
    </row>
    <row r="39" spans="1:5" x14ac:dyDescent="0.25">
      <c r="A39" s="1"/>
      <c r="B39" s="1"/>
      <c r="C39" s="32"/>
      <c r="D39" s="1"/>
      <c r="E39" s="1"/>
    </row>
    <row r="40" spans="1:5" x14ac:dyDescent="0.25">
      <c r="A40" s="1"/>
      <c r="B40" s="1"/>
      <c r="C40" s="32"/>
      <c r="D40" s="1"/>
      <c r="E40" s="1"/>
    </row>
    <row r="41" spans="1:5" x14ac:dyDescent="0.25">
      <c r="A41" s="1"/>
      <c r="B41" s="1"/>
      <c r="C41" s="32"/>
      <c r="D41" s="1"/>
      <c r="E41" s="1"/>
    </row>
    <row r="42" spans="1:5" x14ac:dyDescent="0.25">
      <c r="A42" s="1"/>
      <c r="B42" s="1"/>
      <c r="C42" s="32"/>
      <c r="D42" s="1"/>
      <c r="E42" s="1"/>
    </row>
    <row r="43" spans="1:5" x14ac:dyDescent="0.25">
      <c r="A43" s="1"/>
      <c r="B43" s="1"/>
      <c r="C43" s="32"/>
      <c r="D43" s="1"/>
      <c r="E43" s="1"/>
    </row>
    <row r="44" spans="1:5" x14ac:dyDescent="0.25">
      <c r="A44" s="1"/>
      <c r="B44" s="1"/>
      <c r="C44" s="32"/>
      <c r="D44" s="1"/>
      <c r="E44" s="1"/>
    </row>
    <row r="45" spans="1:5" x14ac:dyDescent="0.25">
      <c r="A45" s="1"/>
      <c r="B45" s="1"/>
      <c r="C45" s="32"/>
      <c r="D45" s="1"/>
      <c r="E45" s="1"/>
    </row>
    <row r="46" spans="1:5" x14ac:dyDescent="0.25">
      <c r="A46" s="1"/>
      <c r="B46" s="1"/>
      <c r="C46" s="32"/>
      <c r="D46" s="1"/>
      <c r="E46" s="1"/>
    </row>
    <row r="47" spans="1:5" x14ac:dyDescent="0.25">
      <c r="A47" s="1"/>
      <c r="B47" s="1"/>
      <c r="C47" s="32"/>
      <c r="D47" s="1"/>
      <c r="E47" s="1"/>
    </row>
    <row r="48" spans="1:5" x14ac:dyDescent="0.25">
      <c r="A48" s="1"/>
      <c r="B48" s="1"/>
      <c r="C48" s="32"/>
      <c r="D48" s="1"/>
      <c r="E48" s="1"/>
    </row>
    <row r="49" spans="1:5" x14ac:dyDescent="0.25">
      <c r="A49" s="1"/>
      <c r="B49" s="1"/>
      <c r="C49" s="32"/>
      <c r="D49" s="1"/>
      <c r="E49" s="1"/>
    </row>
    <row r="50" spans="1:5" x14ac:dyDescent="0.25">
      <c r="A50" s="1"/>
      <c r="B50" s="1"/>
      <c r="C50" s="32"/>
      <c r="D50" s="1"/>
      <c r="E50" s="1"/>
    </row>
  </sheetData>
  <sheetProtection algorithmName="SHA-512" hashValue="sVycw+Wmteb9r0VYXYwINwPF6pJxG00dY5Nk/mrs5LnbNZeciPwOkAJKGyjK1W1IL6iyxGXtacG9TNjgSAKiZQ==" saltValue="WJ+iF7dVfIifmz4QhDjP6w==" spinCount="100000" sheet="1" objects="1" scenarios="1"/>
  <mergeCells count="6">
    <mergeCell ref="B3:D5"/>
    <mergeCell ref="B25:D25"/>
    <mergeCell ref="B14:D14"/>
    <mergeCell ref="B20:D20"/>
    <mergeCell ref="B30:D30"/>
    <mergeCell ref="B8:D8"/>
  </mergeCells>
  <pageMargins left="0.70866141732283461" right="0.70866141732283461" top="0.74803149606299213" bottom="0.74803149606299213"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11"/>
  <dimension ref="A1:E50"/>
  <sheetViews>
    <sheetView showGridLines="0" zoomScaleNormal="100" workbookViewId="0"/>
  </sheetViews>
  <sheetFormatPr defaultColWidth="0" defaultRowHeight="15" zeroHeight="1" x14ac:dyDescent="0.25"/>
  <cols>
    <col min="1" max="1" width="5.28515625" style="2" customWidth="1"/>
    <col min="2" max="2" width="58" style="2" customWidth="1"/>
    <col min="3" max="3" width="11.710937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x14ac:dyDescent="0.25">
      <c r="A3" s="1"/>
      <c r="B3" s="101" t="s">
        <v>54</v>
      </c>
      <c r="C3" s="102"/>
      <c r="D3" s="102"/>
      <c r="E3" s="1"/>
    </row>
    <row r="4" spans="1:5" ht="15" customHeight="1" x14ac:dyDescent="0.25">
      <c r="A4" s="1"/>
      <c r="B4" s="102"/>
      <c r="C4" s="102"/>
      <c r="D4" s="102"/>
      <c r="E4" s="1"/>
    </row>
    <row r="5" spans="1:5" ht="15" customHeight="1" x14ac:dyDescent="0.25">
      <c r="A5" s="1"/>
      <c r="B5" s="102"/>
      <c r="C5" s="102"/>
      <c r="D5" s="102"/>
      <c r="E5" s="1"/>
    </row>
    <row r="6" spans="1:5" ht="15" customHeight="1" x14ac:dyDescent="0.25">
      <c r="A6" s="1"/>
      <c r="B6" s="1"/>
      <c r="C6" s="1"/>
      <c r="D6" s="1"/>
      <c r="E6" s="1"/>
    </row>
    <row r="7" spans="1:5" ht="15" customHeight="1" x14ac:dyDescent="0.25">
      <c r="A7" s="1"/>
      <c r="B7" s="1"/>
      <c r="C7" s="1"/>
      <c r="D7" s="1"/>
      <c r="E7" s="1"/>
    </row>
    <row r="8" spans="1:5" x14ac:dyDescent="0.25">
      <c r="A8" s="1"/>
      <c r="B8" s="98" t="s">
        <v>76</v>
      </c>
      <c r="C8" s="99"/>
      <c r="D8" s="100"/>
      <c r="E8" s="1"/>
    </row>
    <row r="9" spans="1:5" x14ac:dyDescent="0.25">
      <c r="A9" s="1"/>
      <c r="B9" s="56" t="s">
        <v>162</v>
      </c>
      <c r="C9" s="48">
        <v>7678908.0087238029</v>
      </c>
      <c r="D9" s="14" t="s">
        <v>3</v>
      </c>
      <c r="E9" s="1"/>
    </row>
    <row r="10" spans="1:5" x14ac:dyDescent="0.25">
      <c r="A10" s="1"/>
      <c r="B10" s="56" t="s">
        <v>113</v>
      </c>
      <c r="C10" s="48">
        <f>('Fane 3. Omkostninger i ØR2024'!C11+'Fane 3. Omkostninger i ØR2024'!C13+'Fane 3. Omkostninger i ØR2024'!C15)*(1+'Fane 13. Nøgletal'!C10)</f>
        <v>85826.230961452791</v>
      </c>
      <c r="D10" s="14" t="s">
        <v>3</v>
      </c>
      <c r="E10" s="1"/>
    </row>
    <row r="11" spans="1:5" x14ac:dyDescent="0.25">
      <c r="A11" s="1"/>
      <c r="B11" s="56" t="s">
        <v>114</v>
      </c>
      <c r="C11" s="66">
        <f>(C9)*'Fane 13. Nøgletal'!C16+C10*'Fane 13. Nøgletal'!C17</f>
        <v>0</v>
      </c>
      <c r="D11" s="14" t="s">
        <v>3</v>
      </c>
      <c r="E11" s="1"/>
    </row>
    <row r="12" spans="1:5" x14ac:dyDescent="0.25">
      <c r="A12" s="1"/>
      <c r="B12" s="52"/>
      <c r="C12" s="53"/>
      <c r="D12" s="19"/>
      <c r="E12" s="1"/>
    </row>
    <row r="13" spans="1:5" x14ac:dyDescent="0.25">
      <c r="A13" s="1"/>
      <c r="B13" s="1"/>
      <c r="C13" s="1"/>
      <c r="D13" s="1"/>
      <c r="E13" s="1"/>
    </row>
    <row r="14" spans="1:5" x14ac:dyDescent="0.25">
      <c r="A14" s="1"/>
      <c r="B14" s="98" t="s">
        <v>156</v>
      </c>
      <c r="C14" s="99"/>
      <c r="D14" s="100"/>
      <c r="E14" s="1"/>
    </row>
    <row r="15" spans="1:5" x14ac:dyDescent="0.25">
      <c r="A15" s="1"/>
      <c r="B15" s="56" t="s">
        <v>163</v>
      </c>
      <c r="C15" s="48">
        <f>(C9+C10-C11)*(1+'Fane 13. Nøgletal'!C11)</f>
        <v>8279536.1197763886</v>
      </c>
      <c r="D15" s="14" t="s">
        <v>3</v>
      </c>
      <c r="E15" s="1"/>
    </row>
    <row r="16" spans="1:5" x14ac:dyDescent="0.25">
      <c r="A16" s="1"/>
      <c r="B16" s="56" t="s">
        <v>157</v>
      </c>
      <c r="C16" s="48">
        <f>('Fane 2.1. Økonomisk ramme 2025'!C11+'Fane 2.1. Økonomisk ramme 2025'!C13+'Fane 2.1. Økonomisk ramme 2025'!C15)*(1+'Fane 13. Nøgletal'!C11)</f>
        <v>192514.68898618751</v>
      </c>
      <c r="D16" s="14" t="s">
        <v>3</v>
      </c>
      <c r="E16" s="1"/>
    </row>
    <row r="17" spans="1:5" x14ac:dyDescent="0.25">
      <c r="A17" s="1"/>
      <c r="B17" s="56" t="s">
        <v>158</v>
      </c>
      <c r="C17" s="66">
        <f>(C15+C16)*'Fane 13. Nøgletal'!C18</f>
        <v>0</v>
      </c>
      <c r="D17" s="14" t="s">
        <v>3</v>
      </c>
      <c r="E17" s="1"/>
    </row>
    <row r="18" spans="1:5" x14ac:dyDescent="0.25">
      <c r="A18" s="1"/>
      <c r="B18" s="52"/>
      <c r="C18" s="53"/>
      <c r="D18" s="19"/>
      <c r="E18" s="1"/>
    </row>
    <row r="19" spans="1:5" x14ac:dyDescent="0.25">
      <c r="A19" s="1"/>
      <c r="B19" s="1"/>
      <c r="C19" s="1"/>
      <c r="D19" s="1"/>
      <c r="E19" s="1"/>
    </row>
    <row r="20" spans="1:5" x14ac:dyDescent="0.25">
      <c r="A20" s="1"/>
      <c r="B20" s="98" t="s">
        <v>166</v>
      </c>
      <c r="C20" s="99"/>
      <c r="D20" s="100"/>
      <c r="E20" s="1"/>
    </row>
    <row r="21" spans="1:5" x14ac:dyDescent="0.25">
      <c r="A21" s="1"/>
      <c r="B21" s="56" t="s">
        <v>164</v>
      </c>
      <c r="C21" s="48">
        <f>(C15+C16-C17)*(1+'Fane 13. Nøgletal'!C11)</f>
        <v>9033747.7773835361</v>
      </c>
      <c r="D21" s="14" t="s">
        <v>3</v>
      </c>
      <c r="E21" s="1"/>
    </row>
    <row r="22" spans="1:5" x14ac:dyDescent="0.25">
      <c r="A22" s="1"/>
      <c r="B22" s="56" t="s">
        <v>165</v>
      </c>
      <c r="C22" s="66">
        <f>(C21)*'Fane 13. Nøgletal'!C18</f>
        <v>0</v>
      </c>
      <c r="D22" s="14" t="s">
        <v>3</v>
      </c>
      <c r="E22" s="1"/>
    </row>
    <row r="23" spans="1:5" x14ac:dyDescent="0.25">
      <c r="A23" s="1"/>
      <c r="B23" s="52"/>
      <c r="C23" s="53"/>
      <c r="D23" s="19"/>
      <c r="E23" s="1"/>
    </row>
    <row r="24" spans="1:5" x14ac:dyDescent="0.25">
      <c r="A24" s="1"/>
      <c r="B24" s="1"/>
      <c r="C24" s="1"/>
      <c r="D24" s="1"/>
      <c r="E24" s="1"/>
    </row>
    <row r="25" spans="1:5" x14ac:dyDescent="0.25">
      <c r="A25" s="1"/>
      <c r="B25" s="98" t="s">
        <v>119</v>
      </c>
      <c r="C25" s="99"/>
      <c r="D25" s="100"/>
      <c r="E25" s="1"/>
    </row>
    <row r="26" spans="1:5" x14ac:dyDescent="0.25">
      <c r="A26" s="1"/>
      <c r="B26" s="56" t="s">
        <v>120</v>
      </c>
      <c r="C26" s="48">
        <f>(C21-C22)*(1+'Fane 13. Nøgletal'!C11)</f>
        <v>9632685.2550240643</v>
      </c>
      <c r="D26" s="14" t="s">
        <v>3</v>
      </c>
      <c r="E26" s="1"/>
    </row>
    <row r="27" spans="1:5" x14ac:dyDescent="0.25">
      <c r="A27" s="1"/>
      <c r="B27" s="56" t="s">
        <v>121</v>
      </c>
      <c r="C27" s="66">
        <f>(C26)*'Fane 13. Nøgletal'!C18</f>
        <v>0</v>
      </c>
      <c r="D27" s="14" t="s">
        <v>3</v>
      </c>
      <c r="E27" s="1"/>
    </row>
    <row r="28" spans="1:5" x14ac:dyDescent="0.25">
      <c r="A28" s="1"/>
      <c r="B28" s="52"/>
      <c r="C28" s="53"/>
      <c r="D28" s="19"/>
      <c r="E28" s="1"/>
    </row>
    <row r="29" spans="1:5" x14ac:dyDescent="0.25">
      <c r="A29" s="1"/>
      <c r="B29" s="1"/>
      <c r="C29" s="1"/>
      <c r="D29" s="1"/>
      <c r="E29" s="1"/>
    </row>
    <row r="30" spans="1:5" x14ac:dyDescent="0.25">
      <c r="A30" s="1"/>
      <c r="B30" s="98" t="s">
        <v>139</v>
      </c>
      <c r="C30" s="99"/>
      <c r="D30" s="100"/>
      <c r="E30" s="1"/>
    </row>
    <row r="31" spans="1:5" x14ac:dyDescent="0.25">
      <c r="A31" s="1"/>
      <c r="B31" s="56" t="s">
        <v>140</v>
      </c>
      <c r="C31" s="48">
        <f>(C26-C27)*(1+'Fane 13. Nøgletal'!C11)</f>
        <v>10271332.28743216</v>
      </c>
      <c r="D31" s="14" t="s">
        <v>3</v>
      </c>
      <c r="E31" s="1"/>
    </row>
    <row r="32" spans="1:5" x14ac:dyDescent="0.25">
      <c r="A32" s="1"/>
      <c r="B32" s="56" t="s">
        <v>141</v>
      </c>
      <c r="C32" s="66">
        <f>(C31)*'Fane 13. Nøgletal'!C18</f>
        <v>0</v>
      </c>
      <c r="D32" s="14" t="s">
        <v>3</v>
      </c>
      <c r="E32" s="1"/>
    </row>
    <row r="33" spans="1:5" x14ac:dyDescent="0.25">
      <c r="A33" s="1"/>
      <c r="B33" s="52"/>
      <c r="C33" s="53"/>
      <c r="D33" s="19"/>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RDeeresX5CMwCU5bCNi1FVyfBnVRN5hFUR07V1h/GAt1pw1EA8Md3ri9XIXrCHEQBUssQu3fEKapOi6l9erLGQ==" saltValue="gmWDNDTkctAwoq0eVqI70Q==" spinCount="100000" sheet="1" objects="1" scenarios="1"/>
  <mergeCells count="6">
    <mergeCell ref="B3:D5"/>
    <mergeCell ref="B14:D14"/>
    <mergeCell ref="B8:D8"/>
    <mergeCell ref="B30:D30"/>
    <mergeCell ref="B25:D25"/>
    <mergeCell ref="B20:D20"/>
  </mergeCells>
  <pageMargins left="0.70866141732283461" right="0.70866141732283461" top="0.74803149606299213" bottom="0.74803149606299213"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12"/>
  <dimension ref="A1:D50"/>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5.28515625" style="2" customWidth="1"/>
    <col min="5" max="16384" width="9.140625" style="2" hidden="1"/>
  </cols>
  <sheetData>
    <row r="1" spans="1:4" x14ac:dyDescent="0.25">
      <c r="A1" s="1"/>
      <c r="B1" s="1"/>
      <c r="C1" s="1"/>
      <c r="D1" s="1"/>
    </row>
    <row r="2" spans="1:4" x14ac:dyDescent="0.25">
      <c r="A2" s="1"/>
      <c r="B2" s="1"/>
      <c r="C2" s="1"/>
      <c r="D2" s="1"/>
    </row>
    <row r="3" spans="1:4" ht="15" customHeight="1" x14ac:dyDescent="0.25">
      <c r="A3" s="1"/>
      <c r="B3" s="94" t="s">
        <v>41</v>
      </c>
      <c r="C3" s="94"/>
      <c r="D3" s="1"/>
    </row>
    <row r="4" spans="1:4" ht="15" customHeight="1" x14ac:dyDescent="0.25">
      <c r="A4" s="1"/>
      <c r="B4" s="94"/>
      <c r="C4" s="94"/>
      <c r="D4" s="1"/>
    </row>
    <row r="5" spans="1:4" x14ac:dyDescent="0.25">
      <c r="A5" s="1"/>
      <c r="B5" s="1"/>
      <c r="C5" s="1"/>
      <c r="D5" s="1"/>
    </row>
    <row r="6" spans="1:4" x14ac:dyDescent="0.25">
      <c r="A6" s="1"/>
      <c r="B6" s="1"/>
      <c r="C6" s="1"/>
      <c r="D6" s="1"/>
    </row>
    <row r="7" spans="1:4" x14ac:dyDescent="0.25">
      <c r="A7" s="1"/>
      <c r="B7" s="1"/>
      <c r="C7" s="1"/>
      <c r="D7" s="1"/>
    </row>
    <row r="8" spans="1:4" x14ac:dyDescent="0.25">
      <c r="A8" s="1"/>
      <c r="B8" s="98" t="s">
        <v>9</v>
      </c>
      <c r="C8" s="100"/>
      <c r="D8" s="1"/>
    </row>
    <row r="9" spans="1:4" x14ac:dyDescent="0.25">
      <c r="A9" s="1"/>
      <c r="B9" s="56" t="s">
        <v>160</v>
      </c>
      <c r="C9" s="44">
        <v>1.5073813507192077E-2</v>
      </c>
      <c r="D9" s="1"/>
    </row>
    <row r="10" spans="1:4" x14ac:dyDescent="0.25">
      <c r="A10" s="1"/>
      <c r="B10" s="52"/>
      <c r="C10" s="19"/>
      <c r="D10" s="1"/>
    </row>
    <row r="11" spans="1:4" ht="15" customHeight="1" x14ac:dyDescent="0.25">
      <c r="A11" s="1"/>
      <c r="B11" s="103" t="s">
        <v>161</v>
      </c>
      <c r="C11" s="104"/>
      <c r="D11" s="1"/>
    </row>
    <row r="12" spans="1:4" ht="13.5" customHeight="1" x14ac:dyDescent="0.25">
      <c r="A12" s="1"/>
      <c r="B12" s="105"/>
      <c r="C12" s="106"/>
      <c r="D12" s="1"/>
    </row>
    <row r="13" spans="1:4" x14ac:dyDescent="0.25">
      <c r="A13" s="1"/>
      <c r="B13" s="1"/>
      <c r="C13" s="1"/>
      <c r="D13" s="1"/>
    </row>
    <row r="14" spans="1:4" x14ac:dyDescent="0.25">
      <c r="A14" s="1"/>
      <c r="B14" s="1"/>
      <c r="C14" s="1"/>
      <c r="D14" s="1"/>
    </row>
    <row r="15" spans="1:4" x14ac:dyDescent="0.25">
      <c r="A15" s="1"/>
      <c r="B15" s="1"/>
      <c r="C15" s="1"/>
      <c r="D15" s="1"/>
    </row>
    <row r="16" spans="1:4" x14ac:dyDescent="0.25">
      <c r="A16" s="1"/>
      <c r="B16" s="1"/>
      <c r="C16" s="1"/>
      <c r="D16" s="1"/>
    </row>
    <row r="17" spans="1:4" x14ac:dyDescent="0.25">
      <c r="A17" s="1"/>
      <c r="B17" s="1"/>
      <c r="C17" s="1"/>
      <c r="D17" s="1"/>
    </row>
    <row r="18" spans="1:4" ht="15" customHeight="1" x14ac:dyDescent="0.25">
      <c r="A18" s="1"/>
      <c r="B18" s="1"/>
      <c r="C18" s="1"/>
      <c r="D18" s="1"/>
    </row>
    <row r="19" spans="1:4" x14ac:dyDescent="0.25">
      <c r="A19" s="1"/>
      <c r="B19" s="1"/>
      <c r="C19" s="1"/>
      <c r="D19" s="1"/>
    </row>
    <row r="20" spans="1:4" x14ac:dyDescent="0.25">
      <c r="A20" s="1"/>
      <c r="B20" s="1"/>
      <c r="C20" s="1"/>
      <c r="D20" s="1"/>
    </row>
    <row r="21" spans="1:4" x14ac:dyDescent="0.25">
      <c r="A21" s="1"/>
      <c r="B21" s="1"/>
      <c r="C21" s="1"/>
      <c r="D21" s="1"/>
    </row>
    <row r="22" spans="1:4" x14ac:dyDescent="0.25">
      <c r="A22" s="1"/>
      <c r="B22" s="1"/>
      <c r="C22" s="1"/>
      <c r="D22" s="1"/>
    </row>
    <row r="23" spans="1:4" x14ac:dyDescent="0.25">
      <c r="A23" s="1"/>
      <c r="B23" s="1"/>
      <c r="C23" s="1"/>
      <c r="D23" s="1"/>
    </row>
    <row r="24" spans="1:4" x14ac:dyDescent="0.25">
      <c r="A24" s="1"/>
      <c r="B24" s="1"/>
      <c r="C24" s="1"/>
      <c r="D24" s="1"/>
    </row>
    <row r="25" spans="1:4" x14ac:dyDescent="0.25">
      <c r="A25" s="1"/>
      <c r="B25" s="1"/>
      <c r="C25" s="1"/>
      <c r="D25" s="1"/>
    </row>
    <row r="26" spans="1:4" x14ac:dyDescent="0.25">
      <c r="A26" s="1"/>
      <c r="B26" s="1"/>
      <c r="C26" s="1"/>
      <c r="D26" s="1"/>
    </row>
    <row r="27" spans="1:4" x14ac:dyDescent="0.25">
      <c r="A27" s="1"/>
      <c r="B27" s="1"/>
      <c r="C27" s="1"/>
      <c r="D27" s="1"/>
    </row>
    <row r="28" spans="1:4" x14ac:dyDescent="0.25">
      <c r="A28" s="1"/>
      <c r="B28" s="1"/>
      <c r="C28" s="1"/>
      <c r="D28" s="1"/>
    </row>
    <row r="29" spans="1:4" x14ac:dyDescent="0.25">
      <c r="A29" s="1"/>
      <c r="B29" s="1"/>
      <c r="C29" s="1"/>
      <c r="D29" s="1"/>
    </row>
    <row r="30" spans="1:4" x14ac:dyDescent="0.25">
      <c r="A30" s="1"/>
      <c r="B30" s="1"/>
      <c r="C30" s="1"/>
      <c r="D30" s="1"/>
    </row>
    <row r="31" spans="1:4" x14ac:dyDescent="0.25">
      <c r="A31" s="1"/>
      <c r="B31" s="1"/>
      <c r="C31" s="1"/>
      <c r="D31" s="1"/>
    </row>
    <row r="32" spans="1:4" x14ac:dyDescent="0.25">
      <c r="A32" s="1"/>
      <c r="B32" s="1"/>
      <c r="C32" s="1"/>
      <c r="D32" s="1"/>
    </row>
    <row r="33" spans="1:4" x14ac:dyDescent="0.25">
      <c r="A33" s="1"/>
      <c r="B33" s="1"/>
      <c r="C33" s="1"/>
      <c r="D33" s="1"/>
    </row>
    <row r="34" spans="1:4" x14ac:dyDescent="0.25">
      <c r="A34" s="1"/>
      <c r="B34" s="1"/>
      <c r="C34" s="1"/>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1"/>
      <c r="B50" s="1"/>
      <c r="C50" s="1"/>
      <c r="D50" s="1"/>
    </row>
  </sheetData>
  <sheetProtection algorithmName="SHA-512" hashValue="BjppCy4C+Uv+Igga84F4mFwzvv1dOAyXMG1Mstjp0sOoSRu6aogC96VTO2CXR02jCWTIwM/J/DAKI/ZTUaNlZQ==" saltValue="Ei84uo34h19VxNfQZdUP2g==" spinCount="100000" sheet="1" objects="1" scenarios="1"/>
  <mergeCells count="3">
    <mergeCell ref="B3:C4"/>
    <mergeCell ref="B8:C8"/>
    <mergeCell ref="B11:C12"/>
  </mergeCells>
  <pageMargins left="0.70866141732283461" right="0.70866141732283461"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18</vt:i4>
      </vt:variant>
      <vt:variant>
        <vt:lpstr>Navngivne områder</vt:lpstr>
      </vt:variant>
      <vt:variant>
        <vt:i4>21</vt:i4>
      </vt:variant>
    </vt:vector>
  </HeadingPairs>
  <TitlesOfParts>
    <vt:vector size="39" baseType="lpstr">
      <vt:lpstr>1. Forside</vt:lpstr>
      <vt:lpstr>Fane 2.1. Økonomisk ramme 2025</vt:lpstr>
      <vt:lpstr>Fane 2.2. Økonomisk ramme 2026</vt:lpstr>
      <vt:lpstr>Fane 2.3. Økonomisk ramme 2027</vt:lpstr>
      <vt:lpstr>Fane 2.4. Økonomisk ramme 2028</vt:lpstr>
      <vt:lpstr>Fane 3. Omkostninger i ØR2024</vt:lpstr>
      <vt:lpstr>Fane 4.1. Gen. krav - drift</vt:lpstr>
      <vt:lpstr>Fane 4.2. Gen. krav - anlæg</vt:lpstr>
      <vt:lpstr>Fane 5. Individuelt eff. krav</vt:lpstr>
      <vt:lpstr>Fane 6. Ikke-påvirkelige omk.</vt:lpstr>
      <vt:lpstr>Fane 7. Kontrol af ØR2023</vt:lpstr>
      <vt:lpstr>Fane 8. Skattesagen</vt:lpstr>
      <vt:lpstr>Fane 9. Anlægsprojekter (§ 19) </vt:lpstr>
      <vt:lpstr>Fane 10.1. Varige tillæg</vt:lpstr>
      <vt:lpstr>Fane 10.2. Engangstillæg</vt:lpstr>
      <vt:lpstr>Fane 11. Tilknyttet virksomhed</vt:lpstr>
      <vt:lpstr>Fane 12. Bortfald</vt:lpstr>
      <vt:lpstr>Fane 13. Nøgletal</vt:lpstr>
      <vt:lpstr>Fane21</vt:lpstr>
      <vt:lpstr>Fane21total</vt:lpstr>
      <vt:lpstr>Fane22</vt:lpstr>
      <vt:lpstr>Fane22total</vt:lpstr>
      <vt:lpstr>Fane23</vt:lpstr>
      <vt:lpstr>Fane23total</vt:lpstr>
      <vt:lpstr>Fane24</vt:lpstr>
      <vt:lpstr>Fane24total</vt:lpstr>
      <vt:lpstr>Fane3total</vt:lpstr>
      <vt:lpstr>Tabel_Fane_11</vt:lpstr>
      <vt:lpstr>Tabel_Fane_12</vt:lpstr>
      <vt:lpstr>Tabel_Fane_2_1</vt:lpstr>
      <vt:lpstr>Tabel_Fane_2_2</vt:lpstr>
      <vt:lpstr>Tabel_Fane_2_3</vt:lpstr>
      <vt:lpstr>Tabel_Fane_2_4</vt:lpstr>
      <vt:lpstr>Tabel_Fane_3</vt:lpstr>
      <vt:lpstr>ØR24total</vt:lpstr>
      <vt:lpstr>ØR25total</vt:lpstr>
      <vt:lpstr>ØR26total</vt:lpstr>
      <vt:lpstr>ØR27total</vt:lpstr>
      <vt:lpstr>ØR28total</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Rikke Bachmann Jørgensen</cp:lastModifiedBy>
  <cp:lastPrinted>2016-06-14T12:57:30Z</cp:lastPrinted>
  <dcterms:created xsi:type="dcterms:W3CDTF">2016-06-02T08:51:18Z</dcterms:created>
  <dcterms:modified xsi:type="dcterms:W3CDTF">2024-10-10T08:23:15Z</dcterms:modified>
</cp:coreProperties>
</file>