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Thisted Spildevand Transport AS (S09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E26" i="32" l="1"/>
  <c r="E32" i="32" s="1"/>
  <c r="E34" i="32" s="1"/>
  <c r="C26" i="15" l="1"/>
  <c r="C30" i="2"/>
  <c r="C13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1" i="37" s="1"/>
  <c r="E12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<sst xmlns="http://schemas.openxmlformats.org/spreadsheetml/2006/main" count="702" uniqueCount="284">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</sst>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9" t="s">
        <v>282</v>
      </c>
      <c r="E8" s="79"/>
      <c r="F8" s="79"/>
      <c r="G8" s="7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4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4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4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4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4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4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4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4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4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4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4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RGgFS5OeEj0RvtMsNqvG/qvs3OM8uVQou4P7ECJCPckZYhkdFzj6rCiQGGrx/I6O1Y1P5eF4QFtJzHsMf0l7g==" saltValue="jfgwANsj3tRgWARF6RrQ/w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6" t="s">
        <v>132</v>
      </c>
      <c r="C3" s="86"/>
      <c r="D3" s="86"/>
      <c r="E3" s="1"/>
      <c r="F3" s="1"/>
    </row>
    <row r="4" spans="1:6" ht="15" customHeight="1" x14ac:dyDescent="0.45">
      <c r="A4" s="1"/>
      <c r="B4" s="86"/>
      <c r="C4" s="86"/>
      <c r="D4" s="8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4" t="s">
        <v>208</v>
      </c>
      <c r="C8" s="95"/>
      <c r="D8" s="96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x14ac:dyDescent="0.45">
      <c r="A10" s="1"/>
      <c r="B10" s="62" t="s">
        <v>262</v>
      </c>
      <c r="C10" s="9">
        <v>75701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20420770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3336</v>
      </c>
      <c r="D12" s="14" t="s">
        <v>3</v>
      </c>
      <c r="E12" s="1"/>
      <c r="F12" s="1"/>
    </row>
    <row r="13" spans="1:6" x14ac:dyDescent="0.45">
      <c r="A13" s="1"/>
      <c r="B13" s="38" t="s">
        <v>209</v>
      </c>
      <c r="C13" s="12">
        <f>SUM(C10:C12)</f>
        <v>20499807</v>
      </c>
      <c r="D13" s="13" t="s">
        <v>3</v>
      </c>
      <c r="E13" s="1"/>
      <c r="F13" s="1"/>
    </row>
    <row r="14" spans="1:6" x14ac:dyDescent="0.45">
      <c r="A14" s="1"/>
      <c r="B14" s="38" t="s">
        <v>210</v>
      </c>
      <c r="C14" s="12">
        <f>C13*(1+'Fane 14. Nøgletal'!C14)^2</f>
        <v>20635328.969098233</v>
      </c>
      <c r="D14" s="13" t="s">
        <v>3</v>
      </c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94" t="s">
        <v>142</v>
      </c>
      <c r="C17" s="95"/>
      <c r="D17" s="96"/>
      <c r="E17" s="1"/>
      <c r="F17" s="1"/>
    </row>
    <row r="18" spans="1:6" x14ac:dyDescent="0.45">
      <c r="A18" s="1"/>
      <c r="B18" s="62" t="s">
        <v>116</v>
      </c>
      <c r="C18" s="9">
        <v>0</v>
      </c>
      <c r="D18" s="14" t="s">
        <v>3</v>
      </c>
      <c r="E18" s="1"/>
      <c r="F18" s="1"/>
    </row>
    <row r="19" spans="1:6" x14ac:dyDescent="0.45">
      <c r="A19" s="1"/>
      <c r="B19" s="62" t="s">
        <v>117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2" t="s">
        <v>154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211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94"/>
      <c r="C22" s="95"/>
      <c r="D22" s="96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94" t="s">
        <v>115</v>
      </c>
      <c r="C25" s="95"/>
      <c r="D25" s="96"/>
      <c r="E25" s="1"/>
      <c r="F25" s="1"/>
    </row>
    <row r="26" spans="1:6" x14ac:dyDescent="0.45">
      <c r="A26" s="1"/>
      <c r="B26" s="62" t="s">
        <v>116</v>
      </c>
      <c r="C26" s="9">
        <v>0</v>
      </c>
      <c r="D26" s="14" t="s">
        <v>3</v>
      </c>
      <c r="E26" s="1"/>
      <c r="F26" s="1"/>
    </row>
    <row r="27" spans="1:6" x14ac:dyDescent="0.45">
      <c r="A27" s="1"/>
      <c r="B27" s="62" t="s">
        <v>117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154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211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94"/>
      <c r="C30" s="95"/>
      <c r="D30" s="96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P9ltkk9RDUk7X1ZuA5+8LjY+/FVsC9p41Z6fmstwdae3MOCUz+ffURgayW25JkaMl+QNK1XsJLmHyuie6l/zug==" saltValue="qr3tNf5QUQJQ70I5jEijCA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ht="15" customHeight="1" x14ac:dyDescent="0.45">
      <c r="A5" s="1"/>
      <c r="B5" s="58"/>
      <c r="C5" s="58"/>
      <c r="D5" s="58"/>
      <c r="E5" s="58"/>
      <c r="F5" s="58"/>
      <c r="G5" s="1"/>
    </row>
    <row r="6" spans="1:7" ht="15" customHeight="1" x14ac:dyDescent="0.45">
      <c r="A6" s="1"/>
      <c r="B6" s="58"/>
      <c r="C6" s="58"/>
      <c r="D6" s="58"/>
      <c r="E6" s="58"/>
      <c r="F6" s="5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266</v>
      </c>
      <c r="C8" s="95"/>
      <c r="D8" s="95"/>
      <c r="E8" s="95"/>
      <c r="F8" s="96"/>
      <c r="G8" s="1"/>
    </row>
    <row r="9" spans="1:7" x14ac:dyDescent="0.45">
      <c r="A9" s="1"/>
      <c r="B9" s="103" t="s">
        <v>267</v>
      </c>
      <c r="C9" s="104"/>
      <c r="D9" s="105"/>
      <c r="E9" s="9">
        <v>3344006.395326674</v>
      </c>
      <c r="F9" s="14" t="s">
        <v>3</v>
      </c>
      <c r="G9" s="1"/>
    </row>
    <row r="10" spans="1:7" x14ac:dyDescent="0.45">
      <c r="A10" s="1"/>
      <c r="B10" s="103" t="s">
        <v>268</v>
      </c>
      <c r="C10" s="104"/>
      <c r="D10" s="105"/>
      <c r="E10" s="9">
        <v>15242982.576811448</v>
      </c>
      <c r="F10" s="14" t="s">
        <v>3</v>
      </c>
      <c r="G10" s="1"/>
    </row>
    <row r="11" spans="1:7" x14ac:dyDescent="0.45">
      <c r="A11" s="1"/>
      <c r="B11" s="103" t="s">
        <v>269</v>
      </c>
      <c r="C11" s="104"/>
      <c r="D11" s="105"/>
      <c r="E11" s="9">
        <v>0</v>
      </c>
      <c r="F11" s="14" t="s">
        <v>3</v>
      </c>
      <c r="G11" s="1"/>
    </row>
    <row r="12" spans="1:7" x14ac:dyDescent="0.45">
      <c r="A12" s="1"/>
      <c r="B12" s="103" t="s">
        <v>270</v>
      </c>
      <c r="C12" s="104"/>
      <c r="D12" s="105"/>
      <c r="E12" s="9">
        <v>22081519.171970755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7" t="s">
        <v>271</v>
      </c>
      <c r="C14" s="98"/>
      <c r="D14" s="98"/>
      <c r="E14" s="98"/>
      <c r="F14" s="99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272</v>
      </c>
      <c r="C16" s="95"/>
      <c r="D16" s="95"/>
      <c r="E16" s="95"/>
      <c r="F16" s="96"/>
      <c r="G16" s="1"/>
    </row>
    <row r="17" spans="1:7" x14ac:dyDescent="0.45">
      <c r="A17" s="1"/>
      <c r="B17" s="103" t="s">
        <v>273</v>
      </c>
      <c r="C17" s="104"/>
      <c r="D17" s="105"/>
      <c r="E17" s="9">
        <v>0</v>
      </c>
      <c r="F17" s="14" t="s">
        <v>3</v>
      </c>
      <c r="G17" s="1"/>
    </row>
    <row r="18" spans="1:7" x14ac:dyDescent="0.45">
      <c r="A18" s="1"/>
      <c r="B18" s="103" t="s">
        <v>274</v>
      </c>
      <c r="C18" s="104"/>
      <c r="D18" s="105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7" t="s">
        <v>275</v>
      </c>
      <c r="C20" s="98"/>
      <c r="D20" s="98"/>
      <c r="E20" s="98"/>
      <c r="F20" s="99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3" t="s">
        <v>213</v>
      </c>
      <c r="C22" s="54"/>
      <c r="D22" s="54"/>
      <c r="E22" s="54"/>
      <c r="F22" s="55"/>
      <c r="G22" s="1"/>
    </row>
    <row r="23" spans="1:7" x14ac:dyDescent="0.45">
      <c r="A23" s="1"/>
      <c r="B23" s="59" t="s">
        <v>214</v>
      </c>
      <c r="C23" s="60"/>
      <c r="D23" s="61"/>
      <c r="E23" s="9">
        <v>87697085.156012297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70923320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6" t="s">
        <v>276</v>
      </c>
      <c r="C26" s="57"/>
      <c r="D26" s="64"/>
      <c r="E26" s="48">
        <f>E23-(E24-E25)</f>
        <v>16773765.156012297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4" t="s">
        <v>186</v>
      </c>
      <c r="C30" s="95"/>
      <c r="D30" s="95"/>
      <c r="E30" s="95"/>
      <c r="F30" s="96"/>
      <c r="G30" s="1"/>
    </row>
    <row r="31" spans="1:7" x14ac:dyDescent="0.45">
      <c r="A31" s="1"/>
      <c r="B31" s="115" t="s">
        <v>279</v>
      </c>
      <c r="C31" s="116"/>
      <c r="D31" s="117"/>
      <c r="E31" s="9">
        <v>0</v>
      </c>
      <c r="F31" s="14"/>
      <c r="G31" s="1"/>
    </row>
    <row r="32" spans="1:7" x14ac:dyDescent="0.45">
      <c r="A32" s="1"/>
      <c r="B32" s="115" t="s">
        <v>187</v>
      </c>
      <c r="C32" s="116"/>
      <c r="D32" s="117"/>
      <c r="E32" s="9">
        <f>IF(E31&gt;0,IF(AND(E26&lt;0,OR(E31=1,E31=3),ABS(E26)&lt;ABS(SUM(E9:E12))),0,IF(AND(E26&lt;0,OR(E31=1,E31=3),ABS(E26)&gt;ABS(SUM(E9:E12))),(E26+SUM(E9:E12)),IF(AND(E26&lt;0,E31=2,ABS(E26)&lt;ABS(SUM(E10:E12))),0,IF(AND(E26&lt;0,E31=2,ABS(E26)&gt;ABS(SUM(E10:E12))),(E26+SUM(E10:E12)))))),IF(AND(E12&gt;0,E26&gt;0),0,IF(AND(E12&lt;0,E26&lt;0),E12+E26,IF(E12&lt;0,E12,IF(AND(E10&gt;0,E12&gt;0,E26&lt;0,ABS(E12)&gt;ABS(E26)),0,IF(AND(E10&gt;0,E12&gt;0,E26&lt;0,ABS(E12)&lt;ABS(E26)),(ABS(E12)-ABS(E26)),IF(AND(E10&gt;0,E12&gt;0,E26&lt;0,ABS(E12)&gt;ABS(E26)),0,IF(AND(E10&gt;0,E12&gt;0,E26&lt;0,ABS(E12)&lt;ABS(E26)),(ABS(E12)-ABS(E26)),IF(AND(E10&lt;0,E12&gt;0,E26&lt;0,ABS(E11)&gt;ABS(E12)),E26,IF(AND(E10&lt;0,E12&gt;0,E26&lt;0,ABS(E11)&lt;ABS(E12),ABS(SUM(E11,E12))&gt;ABS(E26)),0,IF(AND(E10&lt;0,E12&gt;0,E26&lt;0,ABS(E11)&lt;ABS(E12),ABS(SUM(E11,E12))&lt;ABS(E26)),(ABS(SUM(E11,E12))-ABS(E26)))))))))))))</f>
        <v>0</v>
      </c>
      <c r="F32" s="14" t="s">
        <v>3</v>
      </c>
      <c r="G32" s="1"/>
    </row>
    <row r="33" spans="1:7" x14ac:dyDescent="0.4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4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45">
      <c r="A35" s="1"/>
      <c r="B35" s="119"/>
      <c r="C35" s="120"/>
      <c r="D35" s="120"/>
      <c r="E35" s="120"/>
      <c r="F35" s="121"/>
      <c r="G35" s="1"/>
    </row>
    <row r="36" spans="1:7" ht="75" customHeight="1" x14ac:dyDescent="0.45">
      <c r="A36" s="1"/>
      <c r="B36" s="97" t="s">
        <v>278</v>
      </c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UKwZEV5MSi9rc+T3yEFokivBbHNzVWpLTjLwdjz0AMzXv2/2pxryU5ZOyrgLJlb136ARIVuar9YQaefSqLsnKw==" saltValue="yFk5cznUzl5MfrtSeNxhAQ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4" t="s">
        <v>217</v>
      </c>
      <c r="C9" s="95"/>
      <c r="D9" s="95"/>
      <c r="E9" s="95"/>
      <c r="F9" s="96"/>
      <c r="G9" s="1"/>
    </row>
    <row r="10" spans="1:7" x14ac:dyDescent="0.4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4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45">
      <c r="A12" s="1"/>
      <c r="B12" s="100" t="s">
        <v>119</v>
      </c>
      <c r="C12" s="101"/>
      <c r="D12" s="122"/>
      <c r="E12" s="10">
        <f>E11-E10</f>
        <v>0</v>
      </c>
      <c r="F12" s="11" t="s">
        <v>3</v>
      </c>
      <c r="G12" s="1"/>
    </row>
    <row r="13" spans="1:7" x14ac:dyDescent="0.45">
      <c r="A13" s="1"/>
      <c r="B13" s="94" t="s">
        <v>109</v>
      </c>
      <c r="C13" s="95"/>
      <c r="D13" s="95"/>
      <c r="E13" s="95"/>
      <c r="F13" s="96"/>
      <c r="G13" s="1"/>
    </row>
    <row r="14" spans="1:7" x14ac:dyDescent="0.4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4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4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QI2DkLDpBZZA2fuae2HhmZ1KeQQjNUJxBTDeJGMrpZjmvJvwkKTK2YoTMGFN6ZflPsHSdMtg82evqdvi3476w==" saltValue="+yr1ZtlIlB6sWQSoth4g8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281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hpWB++kMO9b/W/uQ//k58/oUzLUQh25hnZCNp5E7CV0FV+cvGSbwg6yxdP0oJ/yvtIdk01Q5zVR1vyfL4kbcw==" saltValue="r+3DUBDFjnG68wFW/0NM2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E9Cufup6KMRKH29no3qqjn2MWuMkc0wQOpC5lVG48aZmoCkAmNLdqSBmnaS0KjfmHcoQsb0HxTkNjHe5ntMCmQ==" saltValue="Qt4n5RFX+WIFhLoIvrMf9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112</v>
      </c>
      <c r="C8" s="95"/>
      <c r="D8" s="95"/>
      <c r="E8" s="95"/>
      <c r="F8" s="96"/>
      <c r="G8" s="1"/>
    </row>
    <row r="9" spans="1:7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280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113</v>
      </c>
      <c r="C16" s="95"/>
      <c r="D16" s="95"/>
      <c r="E16" s="95"/>
      <c r="F16" s="96"/>
      <c r="G16" s="1"/>
    </row>
    <row r="17" spans="1:7" x14ac:dyDescent="0.4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45">
      <c r="A18" s="1"/>
      <c r="B18" s="25" t="s">
        <v>280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4" t="s">
        <v>166</v>
      </c>
      <c r="C24" s="95"/>
      <c r="D24" s="95"/>
      <c r="E24" s="95"/>
      <c r="F24" s="96"/>
      <c r="G24" s="1"/>
    </row>
    <row r="25" spans="1:7" x14ac:dyDescent="0.4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45">
      <c r="A26" s="1"/>
      <c r="B26" s="25" t="s">
        <v>280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4" t="s">
        <v>224</v>
      </c>
      <c r="C32" s="95"/>
      <c r="D32" s="95"/>
      <c r="E32" s="95"/>
      <c r="F32" s="96"/>
      <c r="G32" s="1"/>
    </row>
    <row r="33" spans="1:7" x14ac:dyDescent="0.4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45">
      <c r="A34" s="1"/>
      <c r="B34" s="25" t="s">
        <v>280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jGfMBItnXpHw4JDyfmhJ6KyRsApWNOrdo6eoO7sCYf2vIobAzJb6TguXePy4l84xpG/APkfOroC+W5/DWUyaXw==" saltValue="cc8XjOkFzP5XjPIFccTv1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02"/>
      <c r="C5" s="102"/>
      <c r="D5" s="102"/>
      <c r="E5" s="102"/>
      <c r="F5" s="10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103</v>
      </c>
      <c r="C8" s="95"/>
      <c r="D8" s="95"/>
      <c r="E8" s="95"/>
      <c r="F8" s="96"/>
      <c r="G8" s="1"/>
    </row>
    <row r="9" spans="1:7" x14ac:dyDescent="0.4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4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8" t="s">
        <v>26</v>
      </c>
      <c r="C11" s="89"/>
      <c r="D11" s="90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4" t="s">
        <v>105</v>
      </c>
      <c r="C12" s="95"/>
      <c r="D12" s="96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4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4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8" t="s">
        <v>26</v>
      </c>
      <c r="C17" s="89"/>
      <c r="D17" s="90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4" t="s">
        <v>106</v>
      </c>
      <c r="C18" s="95"/>
      <c r="D18" s="96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4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4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8" t="s">
        <v>26</v>
      </c>
      <c r="C23" s="89"/>
      <c r="D23" s="90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4" t="s">
        <v>156</v>
      </c>
      <c r="C24" s="95"/>
      <c r="D24" s="96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4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4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8" t="s">
        <v>26</v>
      </c>
      <c r="C29" s="89"/>
      <c r="D29" s="90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4" t="s">
        <v>228</v>
      </c>
      <c r="C30" s="95"/>
      <c r="D30" s="96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K3z0NWRNYxWxManGqD2+SVsS6yFpZxK80EhWhoFzY52oi46dWKQWjM/xfTYUGI6gIisbpwrM60HBEXYHfCI2SA==" saltValue="uuunIXaXI6ZeYbFqWsC03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VMfRrUfI11P0ihzNW+yJMgJFSXtPtZr22cavvsp0TdvFcu7y5ViBNBEL0hhjt9N58IlOrnDSMVtSemgys0hm5A==" saltValue="7kq88puzOB/iAxDh35viA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108</v>
      </c>
      <c r="C14" s="95"/>
      <c r="D14" s="95"/>
      <c r="E14" s="95"/>
      <c r="F14" s="96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169</v>
      </c>
      <c r="C20" s="95"/>
      <c r="D20" s="95"/>
      <c r="E20" s="95"/>
      <c r="F20" s="96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231</v>
      </c>
      <c r="C26" s="95"/>
      <c r="D26" s="95"/>
      <c r="E26" s="95"/>
      <c r="F26" s="96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raUQasxMLYit+fjBCDVS2IRbh/fCVnft0rBhJjG07tNRg6EFchw4Syg8aZUECbCZ1tBvUe0dzaAtcaUBGBo4/Q==" saltValue="ce3PLxU9JO02DRC4/lZbe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2" t="s">
        <v>189</v>
      </c>
      <c r="C3" s="102"/>
      <c r="D3" s="1"/>
    </row>
    <row r="4" spans="1:4" ht="25.5" customHeight="1" x14ac:dyDescent="0.45">
      <c r="A4" s="1"/>
      <c r="B4" s="102"/>
      <c r="C4" s="10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QWzKcvnGNv3gmuCs1IA6RTYtAHm6PK4m0EABAQ0eKxIl4Zo7QN3Kf/TSYBxK6R5vRKBelEVtuUFH9rrKFQLGig==" saltValue="LdqhQijqCpLoN+w/GdN2L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194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61365068.353860274</v>
      </c>
      <c r="D9" s="8" t="s">
        <v>3</v>
      </c>
      <c r="E9" s="1"/>
    </row>
    <row r="10" spans="1:5" ht="17.100000000000001" customHeight="1" x14ac:dyDescent="0.45">
      <c r="A10" s="1"/>
      <c r="B10" s="50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0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0" t="s">
        <v>20</v>
      </c>
      <c r="C16" s="9">
        <f>SUM(C9:C15)*'Fane 14. Nøgletal'!C14</f>
        <v>202504.7255677389</v>
      </c>
      <c r="D16" s="8" t="s">
        <v>3</v>
      </c>
      <c r="E16" s="1"/>
    </row>
    <row r="17" spans="1:5" ht="17.100000000000001" customHeight="1" x14ac:dyDescent="0.45">
      <c r="A17" s="1"/>
      <c r="B17" s="50" t="s">
        <v>10</v>
      </c>
      <c r="C17" s="9">
        <f>-SUM(C9:C16)*'Fane 5. Individuelt eff. krav'!G12</f>
        <v>-1142825.2868129348</v>
      </c>
      <c r="D17" s="8" t="s">
        <v>3</v>
      </c>
      <c r="E17" s="1"/>
    </row>
    <row r="18" spans="1:5" ht="17.100000000000001" customHeight="1" x14ac:dyDescent="0.45">
      <c r="A18" s="1"/>
      <c r="B18" s="50" t="s">
        <v>26</v>
      </c>
      <c r="C18" s="9">
        <f>-'Fane 4.1. Gen. krav - drift'!G39</f>
        <v>-296237.51566781645</v>
      </c>
      <c r="D18" s="8" t="s">
        <v>3</v>
      </c>
      <c r="E18" s="1"/>
    </row>
    <row r="19" spans="1:5" ht="17.100000000000001" customHeight="1" x14ac:dyDescent="0.45">
      <c r="A19" s="1"/>
      <c r="B19" s="50" t="s">
        <v>27</v>
      </c>
      <c r="C19" s="9">
        <f>-'Fane 4.2. Gen. krav - anlæg'!G37</f>
        <v>-708150.1206007828</v>
      </c>
      <c r="D19" s="8" t="s">
        <v>3</v>
      </c>
      <c r="E19" s="1"/>
    </row>
    <row r="20" spans="1:5" ht="17.100000000000001" customHeight="1" x14ac:dyDescent="0.45">
      <c r="A20" s="1"/>
      <c r="B20" s="56" t="s">
        <v>22</v>
      </c>
      <c r="C20" s="10">
        <f>SUM(C9:C19)</f>
        <v>59420360.156346478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omk.'!C14+'Fane 6. Ikke-påvirkelige omk.'!C18+'Fane 6. Ikke-påvirkelige omk.'!C26</f>
        <v>20635328.969098233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283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80055689.12544471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LjxElUwhJPE40sWr//vEn/5HrDsFwkxQHk1bSHwkjk0AO0A6jumw++Sn0RfgBdhTIdJWb3TqnzyU2o4l+0Q6IQ==" saltValue="6pPIODBrGuxUtKE2qXzF2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196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59420360.156346478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196087.18851594339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-1106608.2375500645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drift'!G46</f>
        <v>-291270.79748012987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-699971.80816198362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57518596.501670249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20703425.554696258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283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78222022.056366503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lMAgMPRvGY+HU38t+/EiXKMhHJw8wTi8nGWfSDGBFb45TlMGZWKTGYp32g3udW/7B1YPeeQXsq7RfXoiMYzlrg==" saltValue="WK8Bt8M2nRTxsIrzPBbR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197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57518596.501670249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189811.36845551181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-1071190.9610374235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drift'!G54</f>
        <v>-286387.35128957801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-691887.94574501028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55658941.612053752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20771746.859026756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76430688.471080512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zv8tGfgoxrkZmp0Ny/rMbq0mU2hutLIDOScBXpeWqQt0Ijo2xLigXgfzrVWsw8oBxkr7OP9aa74p2JziUdi8w==" saltValue="n2n/imyxwc1D5eHFNuDIc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198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55658941.612053752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183674.50731977739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-1036557.8922637723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drift'!G60</f>
        <v>-281585.78095785697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-683897.44256167242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53840575.003590234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20840293.623661548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74680868.627251774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/7v8b6zFj2blC2ZhZxRQM54JWwhcXPXqsmhgsHtWQa0vtmiigXr0SPH4Q4dVIrKnrCBwZpKUnrR2uI9wIBiNDw==" saltValue="wcMQpIwEyGKIvXNOhJGV1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277</v>
      </c>
      <c r="C8" s="32"/>
      <c r="D8" s="32"/>
      <c r="E8" s="32"/>
      <c r="F8" s="20"/>
      <c r="G8" s="1"/>
    </row>
    <row r="9" spans="1:7" ht="15" customHeight="1" x14ac:dyDescent="0.45">
      <c r="A9" s="1"/>
      <c r="B9" s="97" t="s">
        <v>25</v>
      </c>
      <c r="C9" s="98"/>
      <c r="D9" s="99"/>
      <c r="E9" s="7">
        <v>62261341.406317048</v>
      </c>
      <c r="F9" s="8" t="s">
        <v>3</v>
      </c>
      <c r="G9" s="1"/>
    </row>
    <row r="10" spans="1:7" ht="15" customHeight="1" x14ac:dyDescent="0.45">
      <c r="A10" s="1"/>
      <c r="B10" s="88" t="s">
        <v>43</v>
      </c>
      <c r="C10" s="89"/>
      <c r="D10" s="90"/>
      <c r="E10" s="7">
        <v>0</v>
      </c>
      <c r="F10" s="8" t="s">
        <v>3</v>
      </c>
      <c r="G10" s="1"/>
    </row>
    <row r="11" spans="1:7" ht="15" customHeight="1" x14ac:dyDescent="0.45">
      <c r="A11" s="1"/>
      <c r="B11" s="88" t="s">
        <v>44</v>
      </c>
      <c r="C11" s="89"/>
      <c r="D11" s="90"/>
      <c r="E11" s="9">
        <v>0</v>
      </c>
      <c r="F11" s="8" t="s">
        <v>3</v>
      </c>
      <c r="G11" s="1"/>
    </row>
    <row r="12" spans="1:7" ht="15" customHeight="1" x14ac:dyDescent="0.4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4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4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4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45">
      <c r="A16" s="1"/>
      <c r="B16" s="97" t="s">
        <v>20</v>
      </c>
      <c r="C16" s="98"/>
      <c r="D16" s="99"/>
      <c r="E16" s="9">
        <v>1226548.4257044457</v>
      </c>
      <c r="F16" s="8" t="s">
        <v>3</v>
      </c>
      <c r="G16" s="1"/>
    </row>
    <row r="17" spans="1:7" ht="15" customHeight="1" x14ac:dyDescent="0.45">
      <c r="A17" s="1"/>
      <c r="B17" s="97" t="s">
        <v>10</v>
      </c>
      <c r="C17" s="98"/>
      <c r="D17" s="99"/>
      <c r="E17" s="9">
        <v>-427529.77280038502</v>
      </c>
      <c r="F17" s="8" t="s">
        <v>3</v>
      </c>
      <c r="G17" s="1"/>
    </row>
    <row r="18" spans="1:7" ht="15" customHeight="1" x14ac:dyDescent="0.45">
      <c r="A18" s="1"/>
      <c r="B18" s="97" t="s">
        <v>26</v>
      </c>
      <c r="C18" s="98"/>
      <c r="D18" s="99"/>
      <c r="E18" s="9">
        <f>-'Fane 4.1. Gen. krav - drift'!G33</f>
        <v>-301288.92579774134</v>
      </c>
      <c r="F18" s="8" t="s">
        <v>3</v>
      </c>
      <c r="G18" s="1"/>
    </row>
    <row r="19" spans="1:7" ht="15" customHeight="1" x14ac:dyDescent="0.45">
      <c r="A19" s="1"/>
      <c r="B19" s="97" t="s">
        <v>27</v>
      </c>
      <c r="C19" s="98"/>
      <c r="D19" s="99"/>
      <c r="E19" s="9">
        <f>-'Fane 4.2. Gen. krav - anlæg'!G31</f>
        <v>-1394002.7795630903</v>
      </c>
      <c r="F19" s="8" t="s">
        <v>3</v>
      </c>
      <c r="G19" s="1"/>
    </row>
    <row r="20" spans="1:7" ht="15" customHeight="1" x14ac:dyDescent="0.45">
      <c r="A20" s="1"/>
      <c r="B20" s="56" t="s">
        <v>22</v>
      </c>
      <c r="C20" s="57"/>
      <c r="D20" s="64"/>
      <c r="E20" s="10">
        <f>SUM(E9:E19)</f>
        <v>61365068.353860274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1" t="s">
        <v>13</v>
      </c>
      <c r="C22" s="92"/>
      <c r="D22" s="93"/>
      <c r="E22" s="10">
        <v>19671095.93447376</v>
      </c>
      <c r="F22" s="11" t="s">
        <v>3</v>
      </c>
      <c r="G22" s="1"/>
    </row>
    <row r="23" spans="1:7" ht="15" customHeight="1" x14ac:dyDescent="0.4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4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4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4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81036164.288334042</v>
      </c>
      <c r="F33" s="13" t="s">
        <v>3</v>
      </c>
      <c r="G33" s="1"/>
    </row>
    <row r="34" spans="1:7" ht="27" customHeight="1" x14ac:dyDescent="0.45">
      <c r="A34" s="1"/>
      <c r="B34" s="97" t="s">
        <v>252</v>
      </c>
      <c r="C34" s="98"/>
      <c r="D34" s="98"/>
      <c r="E34" s="98"/>
      <c r="F34" s="9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1YkrNK4VcodVu2/Xd63ZNjiZXI3IzSsYsg4wqKAsXg08tpk4By0EMqJb858sid8DNxwx95D7UGO73AaxQXBoDQ==" saltValue="cyi76Nuum4WdpL6/zEPNjg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4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45">
      <c r="A4" s="1"/>
      <c r="B4" s="94" t="s">
        <v>56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45</v>
      </c>
      <c r="C5" s="104"/>
      <c r="D5" s="104"/>
      <c r="E5" s="104"/>
      <c r="F5" s="105"/>
      <c r="G5" s="24">
        <v>14419082.457373746</v>
      </c>
      <c r="H5" s="14" t="s">
        <v>3</v>
      </c>
      <c r="I5" s="1"/>
    </row>
    <row r="6" spans="1:9" x14ac:dyDescent="0.45">
      <c r="A6" s="1"/>
      <c r="B6" s="97" t="s">
        <v>145</v>
      </c>
      <c r="C6" s="98"/>
      <c r="D6" s="98"/>
      <c r="E6" s="98"/>
      <c r="F6" s="99"/>
      <c r="G6" s="9">
        <v>0</v>
      </c>
      <c r="H6" s="14" t="s">
        <v>3</v>
      </c>
      <c r="I6" s="1"/>
    </row>
    <row r="7" spans="1:9" x14ac:dyDescent="0.45">
      <c r="A7" s="1"/>
      <c r="B7" s="103" t="s">
        <v>46</v>
      </c>
      <c r="C7" s="104"/>
      <c r="D7" s="104"/>
      <c r="E7" s="104"/>
      <c r="F7" s="105"/>
      <c r="G7" s="24">
        <f>SUM(G5:G6)*'Fane 14. Nøgletal'!C29</f>
        <v>288381.64914747491</v>
      </c>
      <c r="H7" s="14" t="s">
        <v>3</v>
      </c>
      <c r="I7" s="1"/>
    </row>
    <row r="8" spans="1:9" x14ac:dyDescent="0.4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4" t="s">
        <v>57</v>
      </c>
      <c r="C10" s="95"/>
      <c r="D10" s="95"/>
      <c r="E10" s="95"/>
      <c r="F10" s="95"/>
      <c r="G10" s="95"/>
      <c r="H10" s="96"/>
      <c r="I10" s="1"/>
    </row>
    <row r="11" spans="1:9" x14ac:dyDescent="0.45">
      <c r="A11" s="1"/>
      <c r="B11" s="103" t="s">
        <v>47</v>
      </c>
      <c r="C11" s="104"/>
      <c r="D11" s="104"/>
      <c r="E11" s="104"/>
      <c r="F11" s="105"/>
      <c r="G11" s="24">
        <f>(G5-G7)*(1+'Fane 14. Nøgletal'!C10)</f>
        <v>14377988.072370231</v>
      </c>
      <c r="H11" s="14" t="s">
        <v>3</v>
      </c>
      <c r="I11" s="1"/>
    </row>
    <row r="12" spans="1:9" ht="15" customHeight="1" x14ac:dyDescent="0.45">
      <c r="A12" s="1"/>
      <c r="B12" s="103" t="s">
        <v>146</v>
      </c>
      <c r="C12" s="104"/>
      <c r="D12" s="104"/>
      <c r="E12" s="104"/>
      <c r="F12" s="105"/>
      <c r="G12" s="9">
        <v>0</v>
      </c>
      <c r="H12" s="14" t="s">
        <v>3</v>
      </c>
      <c r="I12" s="1"/>
    </row>
    <row r="13" spans="1:9" x14ac:dyDescent="0.45">
      <c r="A13" s="1"/>
      <c r="B13" s="97" t="s">
        <v>143</v>
      </c>
      <c r="C13" s="98"/>
      <c r="D13" s="98"/>
      <c r="E13" s="98"/>
      <c r="F13" s="99"/>
      <c r="G13" s="9">
        <v>0</v>
      </c>
      <c r="H13" s="14" t="s">
        <v>3</v>
      </c>
      <c r="I13" s="1"/>
    </row>
    <row r="14" spans="1:9" x14ac:dyDescent="0.45">
      <c r="A14" s="1"/>
      <c r="B14" s="106" t="s">
        <v>48</v>
      </c>
      <c r="C14" s="107"/>
      <c r="D14" s="107"/>
      <c r="E14" s="107"/>
      <c r="F14" s="108"/>
      <c r="G14" s="9">
        <v>0</v>
      </c>
      <c r="H14" s="14" t="s">
        <v>3</v>
      </c>
      <c r="I14" s="1"/>
    </row>
    <row r="15" spans="1:9" x14ac:dyDescent="0.45">
      <c r="A15" s="1"/>
      <c r="B15" s="103" t="s">
        <v>49</v>
      </c>
      <c r="C15" s="104"/>
      <c r="D15" s="104"/>
      <c r="E15" s="104"/>
      <c r="F15" s="105"/>
      <c r="G15" s="24">
        <f>SUM(G11:G14)*'Fane 14. Nøgletal'!C29</f>
        <v>287559.76144740463</v>
      </c>
      <c r="H15" s="14" t="s">
        <v>3</v>
      </c>
      <c r="I15" s="1"/>
    </row>
    <row r="16" spans="1:9" x14ac:dyDescent="0.4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94" t="s">
        <v>58</v>
      </c>
      <c r="C18" s="95"/>
      <c r="D18" s="95"/>
      <c r="E18" s="95"/>
      <c r="F18" s="95"/>
      <c r="G18" s="95"/>
      <c r="H18" s="96"/>
      <c r="I18" s="1"/>
    </row>
    <row r="19" spans="1:9" x14ac:dyDescent="0.45">
      <c r="A19" s="1"/>
      <c r="B19" s="103" t="s">
        <v>50</v>
      </c>
      <c r="C19" s="104"/>
      <c r="D19" s="104"/>
      <c r="E19" s="104"/>
      <c r="F19" s="105"/>
      <c r="G19" s="24">
        <f>(SUM(G11:G12,G14)-(G15))*(1+'Fane 14. Nøgletal'!C10)</f>
        <v>14337010.806363976</v>
      </c>
      <c r="H19" s="14" t="s">
        <v>3</v>
      </c>
      <c r="I19" s="1"/>
    </row>
    <row r="20" spans="1:9" x14ac:dyDescent="0.45">
      <c r="A20" s="1"/>
      <c r="B20" s="106" t="s">
        <v>51</v>
      </c>
      <c r="C20" s="107"/>
      <c r="D20" s="107"/>
      <c r="E20" s="107"/>
      <c r="F20" s="108"/>
      <c r="G20" s="24">
        <v>756078.93235076987</v>
      </c>
      <c r="H20" s="14" t="s">
        <v>3</v>
      </c>
      <c r="I20" s="1"/>
    </row>
    <row r="21" spans="1:9" x14ac:dyDescent="0.45">
      <c r="A21" s="1"/>
      <c r="B21" s="103" t="s">
        <v>52</v>
      </c>
      <c r="C21" s="104"/>
      <c r="D21" s="104"/>
      <c r="E21" s="104"/>
      <c r="F21" s="105"/>
      <c r="G21" s="24">
        <f>SUM(G19:G20)*'Fane 14. Nøgletal'!C29</f>
        <v>301861.79477429489</v>
      </c>
      <c r="H21" s="14" t="s">
        <v>3</v>
      </c>
      <c r="I21" s="1"/>
    </row>
    <row r="22" spans="1:9" x14ac:dyDescent="0.4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94" t="s">
        <v>59</v>
      </c>
      <c r="C24" s="95"/>
      <c r="D24" s="95"/>
      <c r="E24" s="95"/>
      <c r="F24" s="95"/>
      <c r="G24" s="95"/>
      <c r="H24" s="96"/>
      <c r="I24" s="1"/>
    </row>
    <row r="25" spans="1:9" x14ac:dyDescent="0.45">
      <c r="A25" s="1"/>
      <c r="B25" s="103" t="s">
        <v>53</v>
      </c>
      <c r="C25" s="104"/>
      <c r="D25" s="104"/>
      <c r="E25" s="104"/>
      <c r="F25" s="105"/>
      <c r="G25" s="24">
        <f>(G19+G20-G21)*(1+'Fane 14. Nøgletal'!C12)</f>
        <v>15082615.134436077</v>
      </c>
      <c r="H25" s="14" t="s">
        <v>3</v>
      </c>
      <c r="I25" s="1"/>
    </row>
    <row r="26" spans="1:9" x14ac:dyDescent="0.45">
      <c r="A26" s="1"/>
      <c r="B26" s="106" t="s">
        <v>54</v>
      </c>
      <c r="C26" s="107"/>
      <c r="D26" s="107"/>
      <c r="E26" s="107"/>
      <c r="F26" s="108"/>
      <c r="G26" s="24">
        <v>-7706.8582053073096</v>
      </c>
      <c r="H26" s="14" t="s">
        <v>3</v>
      </c>
      <c r="I26" s="1"/>
    </row>
    <row r="27" spans="1:9" x14ac:dyDescent="0.45">
      <c r="A27" s="1"/>
      <c r="B27" s="103" t="s">
        <v>55</v>
      </c>
      <c r="C27" s="104"/>
      <c r="D27" s="104"/>
      <c r="E27" s="104"/>
      <c r="F27" s="105"/>
      <c r="G27" s="24">
        <f>(G25+G26)*'Fane 14. Nøgletal'!C29</f>
        <v>301498.16552461538</v>
      </c>
      <c r="H27" s="14" t="s">
        <v>3</v>
      </c>
      <c r="I27" s="1"/>
    </row>
    <row r="28" spans="1:9" x14ac:dyDescent="0.4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94" t="s">
        <v>62</v>
      </c>
      <c r="C30" s="95"/>
      <c r="D30" s="95"/>
      <c r="E30" s="95"/>
      <c r="F30" s="95"/>
      <c r="G30" s="95"/>
      <c r="H30" s="96"/>
      <c r="I30" s="1"/>
    </row>
    <row r="31" spans="1:9" x14ac:dyDescent="0.45">
      <c r="A31" s="1"/>
      <c r="B31" s="103" t="s">
        <v>63</v>
      </c>
      <c r="C31" s="104"/>
      <c r="D31" s="104"/>
      <c r="E31" s="104"/>
      <c r="F31" s="105"/>
      <c r="G31" s="24">
        <f>(G25+G26-G27)*(1+'Fane 14. Nøgletal'!C12)</f>
        <v>15064446.289887067</v>
      </c>
      <c r="H31" s="14" t="s">
        <v>3</v>
      </c>
      <c r="I31" s="1"/>
    </row>
    <row r="32" spans="1:9" x14ac:dyDescent="0.45">
      <c r="A32" s="1"/>
      <c r="B32" s="103" t="s">
        <v>171</v>
      </c>
      <c r="C32" s="104"/>
      <c r="D32" s="104"/>
      <c r="E32" s="104"/>
      <c r="F32" s="105"/>
      <c r="G32" s="9">
        <v>0</v>
      </c>
      <c r="H32" s="14" t="s">
        <v>3</v>
      </c>
      <c r="I32" s="1"/>
    </row>
    <row r="33" spans="1:9" x14ac:dyDescent="0.45">
      <c r="A33" s="1"/>
      <c r="B33" s="103" t="s">
        <v>64</v>
      </c>
      <c r="C33" s="104"/>
      <c r="D33" s="104"/>
      <c r="E33" s="104"/>
      <c r="F33" s="105"/>
      <c r="G33" s="24">
        <f>(G31+G32)*'Fane 14. Nøgletal'!C29</f>
        <v>301288.92579774134</v>
      </c>
      <c r="H33" s="14" t="s">
        <v>3</v>
      </c>
      <c r="I33" s="1"/>
    </row>
    <row r="34" spans="1:9" x14ac:dyDescent="0.4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94" t="s">
        <v>232</v>
      </c>
      <c r="C36" s="95"/>
      <c r="D36" s="95"/>
      <c r="E36" s="95"/>
      <c r="F36" s="95"/>
      <c r="G36" s="95"/>
      <c r="H36" s="96"/>
      <c r="I36" s="1"/>
    </row>
    <row r="37" spans="1:9" x14ac:dyDescent="0.45">
      <c r="A37" s="1"/>
      <c r="B37" s="103" t="s">
        <v>84</v>
      </c>
      <c r="C37" s="104"/>
      <c r="D37" s="104"/>
      <c r="E37" s="104"/>
      <c r="F37" s="105"/>
      <c r="G37" s="24">
        <f>(G31+G32-G33)*(1+'Fane 14. Nøgletal'!C14)</f>
        <v>14811875.783390822</v>
      </c>
      <c r="H37" s="14" t="s">
        <v>3</v>
      </c>
      <c r="I37" s="1"/>
    </row>
    <row r="38" spans="1:9" x14ac:dyDescent="0.45">
      <c r="A38" s="1"/>
      <c r="B38" s="103" t="s">
        <v>236</v>
      </c>
      <c r="C38" s="104"/>
      <c r="D38" s="104"/>
      <c r="E38" s="104"/>
      <c r="F38" s="105"/>
      <c r="G38" s="9">
        <f>SUM('Fane 2.1. Økonomisk ramme 2022'!C10,'Fane 2.1. Økonomisk ramme 2022'!C12,'Fane 2.1. Økonomisk ramme 2022'!C14)*(1+'Fane 14. Nøgletal'!C14)</f>
        <v>0</v>
      </c>
      <c r="H38" s="14" t="s">
        <v>3</v>
      </c>
      <c r="I38" s="1"/>
    </row>
    <row r="39" spans="1:9" x14ac:dyDescent="0.45">
      <c r="A39" s="1"/>
      <c r="B39" s="103" t="s">
        <v>234</v>
      </c>
      <c r="C39" s="104"/>
      <c r="D39" s="104"/>
      <c r="E39" s="104"/>
      <c r="F39" s="105"/>
      <c r="G39" s="24">
        <f>(G37+G38)*'Fane 14. Nøgletal'!C29</f>
        <v>296237.51566781645</v>
      </c>
      <c r="H39" s="14" t="s">
        <v>3</v>
      </c>
      <c r="I39" s="1"/>
    </row>
    <row r="40" spans="1:9" x14ac:dyDescent="0.4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94" t="s">
        <v>233</v>
      </c>
      <c r="C42" s="95"/>
      <c r="D42" s="95"/>
      <c r="E42" s="95"/>
      <c r="F42" s="95"/>
      <c r="G42" s="95"/>
      <c r="H42" s="96"/>
      <c r="I42" s="1"/>
    </row>
    <row r="43" spans="1:9" x14ac:dyDescent="0.45">
      <c r="A43" s="1"/>
      <c r="B43" s="103" t="s">
        <v>83</v>
      </c>
      <c r="C43" s="104"/>
      <c r="D43" s="104"/>
      <c r="E43" s="104"/>
      <c r="F43" s="105"/>
      <c r="G43" s="24">
        <f>(G37+G38-G39)*(1+'Fane 14. Nøgletal'!C14)</f>
        <v>14563539.874006493</v>
      </c>
      <c r="H43" s="14" t="s">
        <v>3</v>
      </c>
      <c r="I43" s="1"/>
    </row>
    <row r="44" spans="1:9" x14ac:dyDescent="0.45">
      <c r="A44" s="1"/>
      <c r="B44" s="109" t="s">
        <v>237</v>
      </c>
      <c r="C44" s="110"/>
      <c r="D44" s="110"/>
      <c r="E44" s="110"/>
      <c r="F44" s="111"/>
      <c r="G44" s="9">
        <f>G38*(1+'Fane 14. Nøgletal'!C14)</f>
        <v>0</v>
      </c>
      <c r="H44" s="14" t="s">
        <v>3</v>
      </c>
      <c r="I44" s="1"/>
    </row>
    <row r="45" spans="1:9" x14ac:dyDescent="0.45">
      <c r="A45" s="1"/>
      <c r="B45" s="103" t="s">
        <v>97</v>
      </c>
      <c r="C45" s="104"/>
      <c r="D45" s="104"/>
      <c r="E45" s="104"/>
      <c r="F45" s="105"/>
      <c r="G45" s="9">
        <f>-'Fane 13. Bortfald'!C18*(1+'Fane 14. Nøgletal'!C14)</f>
        <v>0</v>
      </c>
      <c r="H45" s="14" t="s">
        <v>3</v>
      </c>
      <c r="I45" s="1"/>
    </row>
    <row r="46" spans="1:9" x14ac:dyDescent="0.45">
      <c r="A46" s="1"/>
      <c r="B46" s="103" t="s">
        <v>235</v>
      </c>
      <c r="C46" s="104"/>
      <c r="D46" s="104"/>
      <c r="E46" s="104"/>
      <c r="F46" s="105"/>
      <c r="G46" s="24">
        <f>(G43+G45)*'Fane 14. Nøgletal'!C29</f>
        <v>291270.79748012987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94" t="s">
        <v>172</v>
      </c>
      <c r="C51" s="95"/>
      <c r="D51" s="95"/>
      <c r="E51" s="95"/>
      <c r="F51" s="95"/>
      <c r="G51" s="95"/>
      <c r="H51" s="96"/>
      <c r="I51" s="1"/>
    </row>
    <row r="52" spans="1:9" x14ac:dyDescent="0.45">
      <c r="A52" s="1"/>
      <c r="B52" s="103" t="s">
        <v>173</v>
      </c>
      <c r="C52" s="104"/>
      <c r="D52" s="104"/>
      <c r="E52" s="104"/>
      <c r="F52" s="105"/>
      <c r="G52" s="24">
        <f>(G43+G45-G46)*(1+'Fane 14. Nøgletal'!C14)</f>
        <v>14319367.5644789</v>
      </c>
      <c r="H52" s="14" t="s">
        <v>3</v>
      </c>
      <c r="I52" s="1"/>
    </row>
    <row r="53" spans="1:9" x14ac:dyDescent="0.45">
      <c r="A53" s="1"/>
      <c r="B53" s="103" t="s">
        <v>174</v>
      </c>
      <c r="C53" s="104"/>
      <c r="D53" s="104"/>
      <c r="E53" s="104"/>
      <c r="F53" s="105"/>
      <c r="G53" s="9">
        <f>-'Fane 13. Bortfald'!C24*(1+'Fane 14. Nøgletal'!C14)</f>
        <v>0</v>
      </c>
      <c r="H53" s="14" t="s">
        <v>3</v>
      </c>
      <c r="I53" s="1"/>
    </row>
    <row r="54" spans="1:9" x14ac:dyDescent="0.45">
      <c r="A54" s="1"/>
      <c r="B54" s="103" t="s">
        <v>175</v>
      </c>
      <c r="C54" s="104"/>
      <c r="D54" s="104"/>
      <c r="E54" s="104"/>
      <c r="F54" s="105"/>
      <c r="G54" s="24">
        <f>(G52+G53)*'Fane 14. Nøgletal'!C29</f>
        <v>286387.35128957801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94" t="s">
        <v>201</v>
      </c>
      <c r="C57" s="95"/>
      <c r="D57" s="95"/>
      <c r="E57" s="95"/>
      <c r="F57" s="95"/>
      <c r="G57" s="95"/>
      <c r="H57" s="96"/>
      <c r="I57" s="1"/>
    </row>
    <row r="58" spans="1:9" x14ac:dyDescent="0.45">
      <c r="A58" s="1"/>
      <c r="B58" s="59" t="s">
        <v>202</v>
      </c>
      <c r="C58" s="60"/>
      <c r="D58" s="60"/>
      <c r="E58" s="60"/>
      <c r="F58" s="61"/>
      <c r="G58" s="24">
        <f>(G52+G53-G54)*(1+'Fane 14. Nøgletal'!C14)</f>
        <v>14079289.047892848</v>
      </c>
      <c r="H58" s="14" t="s">
        <v>3</v>
      </c>
      <c r="I58" s="1"/>
    </row>
    <row r="59" spans="1:9" x14ac:dyDescent="0.45">
      <c r="A59" s="1"/>
      <c r="B59" s="59" t="s">
        <v>203</v>
      </c>
      <c r="C59" s="60"/>
      <c r="D59" s="60"/>
      <c r="E59" s="60"/>
      <c r="F59" s="61"/>
      <c r="G59" s="9">
        <f>-'Fane 13. Bortfald'!C30*(1+'Fane 14. Nøgletal'!C14)</f>
        <v>0</v>
      </c>
      <c r="H59" s="14" t="s">
        <v>3</v>
      </c>
      <c r="I59" s="1"/>
    </row>
    <row r="60" spans="1:9" x14ac:dyDescent="0.45">
      <c r="A60" s="1"/>
      <c r="B60" s="59" t="s">
        <v>204</v>
      </c>
      <c r="C60" s="60"/>
      <c r="D60" s="60"/>
      <c r="E60" s="60"/>
      <c r="F60" s="61"/>
      <c r="G60" s="24">
        <f>(G58+G59)*'Fane 14. Nøgletal'!C29</f>
        <v>281585.78095785697</v>
      </c>
      <c r="H60" s="14" t="s">
        <v>3</v>
      </c>
      <c r="I60" s="1"/>
    </row>
    <row r="61" spans="1:9" x14ac:dyDescent="0.4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5f/XqJT3MFbVHKmkGdWGc14FH5M357O5iWZ6OUDa81ElSRPTPfAj0E02Hi6GwYkI9/cJurdekaZHanlZMZ8Qcg==" saltValue="xO8zhuKcOP1/YnN25YiyYA==" spinCount="100000" sheet="1" objects="1" scenarios="1"/>
  <mergeCells count="37">
    <mergeCell ref="B57:H5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54:F54"/>
    <mergeCell ref="B37:F37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11:F11"/>
    <mergeCell ref="B10:H10"/>
    <mergeCell ref="B6:F6"/>
    <mergeCell ref="B2:H3"/>
    <mergeCell ref="B24:H24"/>
    <mergeCell ref="B4:H4"/>
    <mergeCell ref="B5:F5"/>
    <mergeCell ref="B7:F7"/>
    <mergeCell ref="B12:F12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4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4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4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65</v>
      </c>
      <c r="C5" s="104"/>
      <c r="D5" s="104"/>
      <c r="E5" s="104"/>
      <c r="F5" s="105"/>
      <c r="G5" s="24">
        <v>48245693.613575146</v>
      </c>
      <c r="H5" s="14" t="s">
        <v>3</v>
      </c>
      <c r="I5" s="1"/>
    </row>
    <row r="6" spans="1:9" x14ac:dyDescent="0.45">
      <c r="A6" s="1"/>
      <c r="B6" s="103" t="s">
        <v>61</v>
      </c>
      <c r="C6" s="104"/>
      <c r="D6" s="104"/>
      <c r="E6" s="104"/>
      <c r="F6" s="105"/>
      <c r="G6" s="24">
        <f>G5*'Fane 14. Nøgletal'!C19</f>
        <v>439035.81188353384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48643274.313221224</v>
      </c>
      <c r="H10" s="14" t="s">
        <v>3</v>
      </c>
      <c r="I10" s="1"/>
    </row>
    <row r="11" spans="1:9" x14ac:dyDescent="0.45">
      <c r="A11" s="1"/>
      <c r="B11" s="103" t="s">
        <v>147</v>
      </c>
      <c r="C11" s="104"/>
      <c r="D11" s="104"/>
      <c r="E11" s="104"/>
      <c r="F11" s="105"/>
      <c r="G11" s="24">
        <v>152301.04340513801</v>
      </c>
      <c r="H11" s="14" t="s">
        <v>3</v>
      </c>
      <c r="I11" s="1"/>
    </row>
    <row r="12" spans="1:9" x14ac:dyDescent="0.45">
      <c r="A12" s="1"/>
      <c r="B12" s="106" t="s">
        <v>68</v>
      </c>
      <c r="C12" s="107"/>
      <c r="D12" s="107"/>
      <c r="E12" s="107"/>
      <c r="F12" s="108"/>
      <c r="G12" s="9">
        <v>0</v>
      </c>
      <c r="H12" s="14" t="s">
        <v>3</v>
      </c>
      <c r="I12" s="1"/>
    </row>
    <row r="13" spans="1:9" x14ac:dyDescent="0.4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863681.68381228659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4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48770701.812088326</v>
      </c>
      <c r="H17" s="14" t="s">
        <v>3</v>
      </c>
      <c r="I17" s="1"/>
    </row>
    <row r="18" spans="1:9" x14ac:dyDescent="0.45">
      <c r="A18" s="1"/>
      <c r="B18" s="106" t="s">
        <v>72</v>
      </c>
      <c r="C18" s="107"/>
      <c r="D18" s="107"/>
      <c r="E18" s="107"/>
      <c r="F18" s="108"/>
      <c r="G18" s="24">
        <v>282660.06289422995</v>
      </c>
      <c r="H18" s="14" t="s">
        <v>3</v>
      </c>
      <c r="I18" s="1"/>
    </row>
    <row r="19" spans="1:9" x14ac:dyDescent="0.4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865700.56462114316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49136958.238175541</v>
      </c>
      <c r="H23" s="14" t="s">
        <v>3</v>
      </c>
      <c r="I23" s="1"/>
    </row>
    <row r="24" spans="1:9" x14ac:dyDescent="0.45">
      <c r="A24" s="1"/>
      <c r="B24" s="106" t="s">
        <v>76</v>
      </c>
      <c r="C24" s="107"/>
      <c r="D24" s="107"/>
      <c r="E24" s="107"/>
      <c r="F24" s="108"/>
      <c r="G24" s="24">
        <v>406392.33982778009</v>
      </c>
      <c r="H24" s="14" t="s">
        <v>3</v>
      </c>
      <c r="I24" s="1"/>
    </row>
    <row r="25" spans="1:9" x14ac:dyDescent="0.4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1407031.1564152944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49084604.914193317</v>
      </c>
      <c r="H29" s="14" t="s">
        <v>3</v>
      </c>
      <c r="I29" s="1"/>
    </row>
    <row r="30" spans="1:9" x14ac:dyDescent="0.45">
      <c r="A30" s="1"/>
      <c r="B30" s="103" t="s">
        <v>176</v>
      </c>
      <c r="C30" s="104"/>
      <c r="D30" s="104"/>
      <c r="E30" s="104"/>
      <c r="F30" s="105"/>
      <c r="G30" s="9">
        <v>0</v>
      </c>
      <c r="H30" s="14" t="s">
        <v>3</v>
      </c>
      <c r="I30" s="1"/>
    </row>
    <row r="31" spans="1:9" x14ac:dyDescent="0.4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1394002.7795630903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47847981.121674508</v>
      </c>
      <c r="H35" s="14" t="s">
        <v>3</v>
      </c>
      <c r="I35" s="1"/>
    </row>
    <row r="36" spans="1:9" x14ac:dyDescent="0.45">
      <c r="A36" s="1"/>
      <c r="B36" s="103" t="s">
        <v>240</v>
      </c>
      <c r="C36" s="104"/>
      <c r="D36" s="104"/>
      <c r="E36" s="104"/>
      <c r="F36" s="105"/>
      <c r="G36" s="9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4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708150.1206007828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47295392.443377271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9">
        <f>G36*(1+'Fane 14. Nøgletal'!C14)</f>
        <v>0</v>
      </c>
      <c r="H42" s="14" t="s">
        <v>3</v>
      </c>
      <c r="I42" s="1"/>
    </row>
    <row r="43" spans="1:9" x14ac:dyDescent="0.4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699971.80816198362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46749185.523311503</v>
      </c>
      <c r="H53" s="14" t="s">
        <v>3</v>
      </c>
      <c r="I53" s="1"/>
    </row>
    <row r="54" spans="1:9" x14ac:dyDescent="0.4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691887.94574501028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4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46209286.65957246</v>
      </c>
      <c r="H59" s="14" t="s">
        <v>3</v>
      </c>
      <c r="I59" s="1"/>
    </row>
    <row r="60" spans="1:9" x14ac:dyDescent="0.4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683897.44256167242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y3qPGv9iG6gJ4kvAk94jA5mpmL0BglVN94HUPs/Voa8jn0CbfgdO1RiiWeqYMVWo2/TGujDb6QemjdRnQEXGdg==" saltValue="pqOm17cfQZPLRiu3BfJ1w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45">
      <c r="A9" s="1"/>
      <c r="B9" s="103" t="s">
        <v>243</v>
      </c>
      <c r="C9" s="104"/>
      <c r="D9" s="104"/>
      <c r="E9" s="104"/>
      <c r="F9" s="105"/>
      <c r="G9" s="23">
        <v>3.2452743806543937E-3</v>
      </c>
      <c r="H9" s="14"/>
      <c r="I9" s="1"/>
    </row>
    <row r="10" spans="1:9" x14ac:dyDescent="0.45">
      <c r="A10" s="1"/>
      <c r="B10" s="103" t="s">
        <v>86</v>
      </c>
      <c r="C10" s="104"/>
      <c r="D10" s="104"/>
      <c r="E10" s="104"/>
      <c r="F10" s="105"/>
      <c r="G10" s="23">
        <v>0</v>
      </c>
      <c r="H10" s="14"/>
      <c r="I10" s="1"/>
    </row>
    <row r="11" spans="1:9" x14ac:dyDescent="0.45">
      <c r="A11" s="1"/>
      <c r="B11" s="103" t="s">
        <v>87</v>
      </c>
      <c r="C11" s="104"/>
      <c r="D11" s="104"/>
      <c r="E11" s="104"/>
      <c r="F11" s="105"/>
      <c r="G11" s="41">
        <v>6.734036584481835E-3</v>
      </c>
      <c r="H11" s="14"/>
      <c r="I11" s="1"/>
    </row>
    <row r="12" spans="1:9" x14ac:dyDescent="0.45">
      <c r="A12" s="1"/>
      <c r="B12" s="103" t="s">
        <v>206</v>
      </c>
      <c r="C12" s="104"/>
      <c r="D12" s="104"/>
      <c r="E12" s="104"/>
      <c r="F12" s="105"/>
      <c r="G12" s="41">
        <v>1.8562129862396585E-2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4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3rRl8lt3UjPIw6joOwKpr3wrj0h5ZfGKoQiKZTMtpQ0QShE/4DRAG7SPt8e/aSGgen7X5e8nYahRy4cjHce/pA==" saltValue="rQ6+zYuvdJ2q4IsxkInaS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2021-09-13T01:04:54Z</dcterms:modified>
</cp:coreProperties>
</file>