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Glostrup Spildevand AS (S030)\ØR2024\"/>
    </mc:Choice>
  </mc:AlternateContent>
  <xr:revisionPtr revIDLastSave="0" documentId="13_ncr:1_{1EE5682A-5F3D-451A-827B-C2A57F275E4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28" i="2" l="1"/>
  <c r="E25" i="44" l="1"/>
  <c r="E16" i="44" l="1"/>
  <c r="E17" i="44"/>
  <c r="E18" i="44" l="1"/>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19" i="19"/>
  <c r="C20" i="19" s="1"/>
  <c r="C16" i="23" l="1"/>
  <c r="C16" i="15"/>
  <c r="C16" i="22"/>
  <c r="F10" i="11"/>
  <c r="F11" i="11" s="1"/>
  <c r="C12" i="21" l="1"/>
  <c r="C13" i="21" s="1"/>
  <c r="C12" i="2" l="1"/>
  <c r="C15" i="2" l="1"/>
  <c r="C14" i="2"/>
  <c r="G6" i="36" l="1"/>
  <c r="C26" i="2" l="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<sst xmlns="http://schemas.openxmlformats.org/spreadsheetml/2006/main" count="651" uniqueCount="290">
  <si>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</si>
  <si>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</si>
  <si>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</si>
  <si>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</si>
  <si>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</si>
  <si>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</si>
  <si>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</si>
  <si>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</si>
  <si>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</si>
  <si>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</si>
  <si>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</si>
  <si>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</si>
  <si>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</si>
  <si>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</si>
  <si>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</si>
  <si>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</si>
  <si>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</si>
  <si>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</si>
  <si>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</si>
  <si>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</si>
  <si>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</si>
  <si>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</si>
  <si>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</si>
  <si>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</si>
  <si>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</si>
  <si>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</si>
  <si>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</si>
  <si>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</si>
  <si>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</si>
  <si>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</si>
  <si>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</si>
  <si>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</si>
  <si>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</si>
  <si>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</si>
  <si>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</si>
  <si>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</si>
  <si>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</si>
  <si>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</si>
  <si>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</si>
  <si>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</si>
  <si>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</si>
  <si>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</si>
  <si>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</si>
  <si>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</si>
  <si>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</si>
  <si>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</si>
  <si>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</si>
  <si>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</si>
  <si>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</si>
  <si>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</si>
  <si>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</si>
  <si>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</si>
  <si>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</si>
  <si>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</si>
  <si>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</si>
  <si>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</si>
  <si>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</si>
  <si>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</si>
  <si>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</si>
  <si>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</si>
  <si>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</si>
  <si>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</si>
  <si>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</si>
  <si>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</si>
  <si>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</si>
  <si>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</si>
  <si>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</si>
  <si>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</si>
  <si>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</si>
  <si>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</si>
  <si>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</si>
  <si>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</si>
  <si>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</si>
  <si>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</si>
  <si>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</si>
  <si>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</si>
  <si>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</si>
  <si>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</si>
  <si>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</si>
  <si>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</si>
  <si>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</si>
  <si>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</si>
  <si>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</si>
  <si>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</si>
  <si>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</si>
  <si>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</si>
  <si>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</si>
  <si>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</si>
  <si>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</si>
  <si>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</si>
  <si>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</si>
  <si>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</si>
  <si>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</si>
  <si>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</si>
  <si>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</si>
  <si>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</si>
  <si>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</si>
  <si>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</si>
  <si>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</si>
  <si>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</si>
  <si>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</si>
  <si>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</si>
  <si>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</si>
  <si>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</si>
  <si>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</si>
  <si>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</si>
  <si>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</si>
  <si>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</si>
  <si>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</si>
  <si>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</si>
  <si>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</si>
  <si>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</si>
  <si>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</si>
  <si>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</si>
  <si>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</si>
  <si>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</si>
  <si>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</si>
  <si>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</si>
  <si>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</si>
  <si>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</si>
  <si>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</si>
  <si>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</si>
  <si>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</si>
  <si>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</si>
  <si>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</si>
  <si>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</si>
  <si>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</si>
  <si>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</si>
  <si>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</si>
  <si>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</si>
  <si>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</si>
  <si>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</si>
  <si>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</si>
  <si>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</si>
  <si>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</si>
  <si>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</si>
  <si>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</si>
  <si>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</si>
  <si>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</si>
  <si>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</si>
  <si>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</si>
  <si>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</si>
  <si>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</si>
  <si>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</si>
  <si>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</si>
  <si>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</si>
  <si>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</si>
  <si>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</si>
  <si>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</si>
  <si>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</si>
  <si>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</si>
  <si>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</si>
  <si>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</si>
  <si>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</si>
  <si>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</si>
  <si>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</si>
  <si>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</si>
  <si>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</si>
  <si>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</si>
  <si>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</si>
  <si>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</si>
  <si>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</si>
  <si>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</si>
  <si>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</si>
  <si>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</si>
  <si>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</si>
  <si>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</si>
  <si>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</si>
  <si>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</si>
  <si>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</si>
  <si>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</si>
  <si>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</si>
  <si>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</si>
  <si>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</si>
  <si>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</si>
  <si>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</si>
  <si>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</si>
  <si>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</si>
  <si>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</si>
  <si>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</si>
  <si>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</si>
  <si>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</si>
  <si>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</si>
  <si>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</si>
  <si>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</si>
  <si>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</si>
  <si>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</si>
  <si>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</si>
  <si>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</si>
  <si>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</si>
  <si>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</si>
  <si>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</si>
  <si>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</si>
  <si>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</si>
  <si>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</si>
  <si>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</si>
  <si>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</si>
  <si>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</si>
  <si>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</si>
  <si>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</si>
  <si>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</si>
  <si>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</si>
  <si>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</si>
  <si>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</si>
  <si>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</si>
  <si>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</si>
  <si>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</si>
  <si>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</si>
  <si>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</si>
  <si>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</si>
  <si>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</si>
  <si>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</si>
  <si>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</si>
  <si>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</si>
  <si>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</si>
  <si>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</si>
  <si>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</si>
  <si>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</si>
  <si>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</si>
  <si>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</si>
  <si>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</si>
  <si>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</si>
  <si>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</si>
  <si>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</si>
  <si>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</si>
  <si>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</si>
  <si>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</si>
  <si>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</si>
  <si>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</si>
  <si>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</si>
  <si>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</si>
  <si>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</si>
  <si>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</si>
  <si>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</si>
  <si>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</si>
  <si>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</si>
  <si>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</si>
  <si>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</si>
  <si>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</si>
  <si>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</si>
  <si>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</si>
  <si>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</si>
  <si>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</si>
  <si>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</si>
  <si>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</si>
  <si>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</si>
  <si>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</si>
  <si>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</si>
  <si>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</si>
  <si>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</si>
  <si>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</si>
  <si>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</si>
  <si>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</si>
  <si>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</si>
  <si>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</si>
  <si>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</si>
  <si>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</si>
  <si>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</si>
  <si>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</si>
  <si>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</si>
  <si>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</si>
  <si>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</si>
  <si>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</si>
  <si>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</si>
  <si>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</si>
  <si>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</si>
  <si>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</si>
  <si>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</si>
  <si>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</si>
  <si>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</si>
  <si>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</si>
  <si>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</si>
  <si>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Afgift til Forsyningssekretariatet</t>
  </si>
  <si>
    <t>Køb af ydelser og produkter fra andre vandselskaber reguleret af vandsektorloven</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</si>
  <si>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</si>
  <si>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</si>
  <si>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</si>
  <si>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</si>
  <si>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</si>
  <si>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</si>
  <si>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</si>
  <si>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</si>
  <si>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</si>
  <si>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</si>
  <si>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</si>
  <si>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</si>
  <si>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Hortensiavej</t>
  </si>
  <si>
    <t>Byggemodninger 2022</t>
  </si>
  <si>
    <t>Harrestrup Å</t>
  </si>
  <si>
    <t>Skybrudsberegninger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</si>
</sst>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6" t="s">
        <v>252</v>
      </c>
      <c r="E8" s="106"/>
      <c r="F8" s="106"/>
      <c r="G8" s="106"/>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5" t="s">
        <v>5</v>
      </c>
      <c r="E11" s="105"/>
      <c r="F11" s="105"/>
      <c r="G11" s="105"/>
      <c r="H11" s="5"/>
      <c r="I11" s="1"/>
    </row>
    <row r="12" spans="1:9" x14ac:dyDescent="0.25">
      <c r="A12" s="1"/>
      <c r="B12" s="1"/>
      <c r="C12" s="1"/>
      <c r="D12" s="1"/>
      <c r="E12" s="1"/>
      <c r="F12" s="1"/>
      <c r="G12" s="1"/>
      <c r="H12" s="5"/>
      <c r="I12" s="1"/>
    </row>
    <row r="13" spans="1:9" x14ac:dyDescent="0.25">
      <c r="A13" s="1"/>
      <c r="B13" s="1"/>
      <c r="C13" s="6" t="s">
        <v>6</v>
      </c>
      <c r="D13" s="107" t="s">
        <v>196</v>
      </c>
      <c r="E13" s="108"/>
      <c r="F13" s="108"/>
      <c r="G13" s="109"/>
      <c r="H13" s="5"/>
      <c r="I13" s="1"/>
    </row>
    <row r="14" spans="1:9" x14ac:dyDescent="0.25">
      <c r="A14" s="1"/>
      <c r="B14" s="1"/>
      <c r="C14" s="6" t="s">
        <v>16</v>
      </c>
      <c r="D14" s="98" t="s">
        <v>197</v>
      </c>
      <c r="E14" s="99"/>
      <c r="F14" s="99"/>
      <c r="G14" s="100"/>
      <c r="H14" s="5"/>
      <c r="I14" s="1"/>
    </row>
    <row r="15" spans="1:9" x14ac:dyDescent="0.25">
      <c r="A15" s="1"/>
      <c r="B15" s="1"/>
      <c r="C15" s="6" t="s">
        <v>31</v>
      </c>
      <c r="D15" s="98" t="s">
        <v>262</v>
      </c>
      <c r="E15" s="99"/>
      <c r="F15" s="99"/>
      <c r="G15" s="100"/>
      <c r="H15" s="5"/>
      <c r="I15" s="1"/>
    </row>
    <row r="16" spans="1:9" x14ac:dyDescent="0.25">
      <c r="A16" s="1"/>
      <c r="B16" s="1"/>
      <c r="C16" s="6" t="s">
        <v>32</v>
      </c>
      <c r="D16" s="98" t="s">
        <v>263</v>
      </c>
      <c r="E16" s="99"/>
      <c r="F16" s="99"/>
      <c r="G16" s="100"/>
      <c r="H16" s="5"/>
      <c r="I16" s="1"/>
    </row>
    <row r="17" spans="1:9" x14ac:dyDescent="0.25">
      <c r="A17" s="1"/>
      <c r="B17" s="1"/>
      <c r="C17" s="6" t="s">
        <v>101</v>
      </c>
      <c r="D17" s="98" t="s">
        <v>198</v>
      </c>
      <c r="E17" s="99"/>
      <c r="F17" s="99"/>
      <c r="G17" s="100"/>
      <c r="H17" s="5"/>
      <c r="I17" s="1"/>
    </row>
    <row r="18" spans="1:9" x14ac:dyDescent="0.25">
      <c r="A18" s="1"/>
      <c r="B18" s="1"/>
      <c r="C18" s="6" t="s">
        <v>88</v>
      </c>
      <c r="D18" s="95" t="s">
        <v>79</v>
      </c>
      <c r="E18" s="96"/>
      <c r="F18" s="96"/>
      <c r="G18" s="97"/>
      <c r="H18" s="5"/>
      <c r="I18" s="1"/>
    </row>
    <row r="19" spans="1:9" x14ac:dyDescent="0.25">
      <c r="A19" s="1"/>
      <c r="B19" s="1"/>
      <c r="C19" s="6" t="s">
        <v>89</v>
      </c>
      <c r="D19" s="95" t="s">
        <v>80</v>
      </c>
      <c r="E19" s="96"/>
      <c r="F19" s="96"/>
      <c r="G19" s="97"/>
      <c r="H19" s="5"/>
      <c r="I19" s="1"/>
    </row>
    <row r="20" spans="1:9" x14ac:dyDescent="0.25">
      <c r="A20" s="1"/>
      <c r="B20" s="1"/>
      <c r="C20" s="6" t="s">
        <v>7</v>
      </c>
      <c r="D20" s="95" t="s">
        <v>10</v>
      </c>
      <c r="E20" s="96"/>
      <c r="F20" s="96"/>
      <c r="G20" s="97"/>
      <c r="H20" s="5"/>
      <c r="I20" s="1"/>
    </row>
    <row r="21" spans="1:9" x14ac:dyDescent="0.25">
      <c r="A21" s="1"/>
      <c r="B21" s="1"/>
      <c r="C21" s="6" t="s">
        <v>90</v>
      </c>
      <c r="D21" s="102" t="s">
        <v>12</v>
      </c>
      <c r="E21" s="103"/>
      <c r="F21" s="103"/>
      <c r="G21" s="104"/>
      <c r="H21" s="5"/>
      <c r="I21" s="1"/>
    </row>
    <row r="22" spans="1:9" x14ac:dyDescent="0.25">
      <c r="A22" s="1"/>
      <c r="B22" s="1"/>
      <c r="C22" s="6" t="s">
        <v>71</v>
      </c>
      <c r="D22" s="89" t="s">
        <v>199</v>
      </c>
      <c r="E22" s="90"/>
      <c r="F22" s="90"/>
      <c r="G22" s="91"/>
      <c r="H22" s="5"/>
      <c r="I22" s="1"/>
    </row>
    <row r="23" spans="1:9" x14ac:dyDescent="0.25">
      <c r="A23" s="1"/>
      <c r="B23" s="1"/>
      <c r="C23" s="6" t="s">
        <v>8</v>
      </c>
      <c r="D23" s="89" t="s">
        <v>181</v>
      </c>
      <c r="E23" s="90"/>
      <c r="F23" s="90"/>
      <c r="G23" s="91"/>
      <c r="H23" s="5"/>
      <c r="I23" s="1"/>
    </row>
    <row r="24" spans="1:9" x14ac:dyDescent="0.25">
      <c r="A24" s="1"/>
      <c r="B24" s="1"/>
      <c r="C24" s="6" t="s">
        <v>9</v>
      </c>
      <c r="D24" s="89" t="s">
        <v>200</v>
      </c>
      <c r="E24" s="90"/>
      <c r="F24" s="90"/>
      <c r="G24" s="91"/>
      <c r="H24" s="5"/>
      <c r="I24" s="1"/>
    </row>
    <row r="25" spans="1:9" x14ac:dyDescent="0.25">
      <c r="A25" s="1"/>
      <c r="B25" s="1"/>
      <c r="C25" s="6" t="s">
        <v>166</v>
      </c>
      <c r="D25" s="89" t="s">
        <v>160</v>
      </c>
      <c r="E25" s="90"/>
      <c r="F25" s="90"/>
      <c r="G25" s="91"/>
      <c r="H25" s="1"/>
      <c r="I25" s="1"/>
    </row>
    <row r="26" spans="1:9" x14ac:dyDescent="0.25">
      <c r="A26" s="1"/>
      <c r="B26" s="1"/>
      <c r="C26" s="6" t="s">
        <v>167</v>
      </c>
      <c r="D26" s="89" t="s">
        <v>72</v>
      </c>
      <c r="E26" s="90"/>
      <c r="F26" s="90"/>
      <c r="G26" s="91"/>
      <c r="H26" s="1"/>
      <c r="I26" s="1"/>
    </row>
    <row r="27" spans="1:9" x14ac:dyDescent="0.25">
      <c r="A27" s="1"/>
      <c r="B27" s="1"/>
      <c r="C27" s="6" t="s">
        <v>168</v>
      </c>
      <c r="D27" s="89" t="s">
        <v>73</v>
      </c>
      <c r="E27" s="90"/>
      <c r="F27" s="90"/>
      <c r="G27" s="91"/>
      <c r="H27" s="1"/>
      <c r="I27" s="1"/>
    </row>
    <row r="28" spans="1:9" x14ac:dyDescent="0.25">
      <c r="A28" s="1"/>
      <c r="B28" s="1"/>
      <c r="C28" s="6" t="s">
        <v>15</v>
      </c>
      <c r="D28" s="89" t="s">
        <v>74</v>
      </c>
      <c r="E28" s="90"/>
      <c r="F28" s="90"/>
      <c r="G28" s="91"/>
      <c r="H28" s="1"/>
      <c r="I28" s="1"/>
    </row>
    <row r="29" spans="1:9" x14ac:dyDescent="0.25">
      <c r="A29" s="1"/>
      <c r="B29" s="1"/>
      <c r="C29" s="6" t="s">
        <v>34</v>
      </c>
      <c r="D29" s="89" t="s">
        <v>114</v>
      </c>
      <c r="E29" s="90"/>
      <c r="F29" s="90"/>
      <c r="G29" s="91"/>
      <c r="H29" s="1"/>
      <c r="I29" s="1"/>
    </row>
    <row r="30" spans="1:9" x14ac:dyDescent="0.25">
      <c r="A30" s="1"/>
      <c r="B30" s="1"/>
      <c r="C30" s="6" t="s">
        <v>35</v>
      </c>
      <c r="D30" s="89" t="s">
        <v>33</v>
      </c>
      <c r="E30" s="90"/>
      <c r="F30" s="90"/>
      <c r="G30" s="91"/>
      <c r="H30" s="1"/>
      <c r="I30" s="1"/>
    </row>
    <row r="31" spans="1:9" x14ac:dyDescent="0.25">
      <c r="A31" s="1"/>
      <c r="B31" s="1"/>
      <c r="C31" s="6" t="s">
        <v>169</v>
      </c>
      <c r="D31" s="92" t="s">
        <v>87</v>
      </c>
      <c r="E31" s="93"/>
      <c r="F31" s="93"/>
      <c r="G31" s="94"/>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9aHLmsoTXukFxYyahJQjJQUj5VxZU9Nmvd5agafJ6467bFFitfDGHfPDs2POv7f2JhL1Obhh9Fnk4MwHnshrqw==" saltValue="cuYyH0shMvSXgKkBL8aQj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224</v>
      </c>
      <c r="C8" s="115"/>
      <c r="D8" s="116"/>
      <c r="E8" s="1"/>
      <c r="F8" s="1"/>
    </row>
    <row r="9" spans="1:6" ht="15" customHeight="1" x14ac:dyDescent="0.25">
      <c r="A9" s="1"/>
      <c r="B9" s="27" t="s">
        <v>29</v>
      </c>
      <c r="C9" s="50" t="s">
        <v>225</v>
      </c>
      <c r="D9" s="11"/>
      <c r="E9" s="1"/>
      <c r="F9" s="1"/>
    </row>
    <row r="10" spans="1:6" ht="15" customHeight="1" x14ac:dyDescent="0.25">
      <c r="A10" s="1"/>
      <c r="B10" s="81" t="s">
        <v>272</v>
      </c>
      <c r="C10" s="9">
        <v>83638</v>
      </c>
      <c r="D10" s="14" t="s">
        <v>3</v>
      </c>
      <c r="E10" s="1"/>
      <c r="F10" s="1"/>
    </row>
    <row r="11" spans="1:6" ht="26.25" x14ac:dyDescent="0.25">
      <c r="A11" s="1"/>
      <c r="B11" s="29" t="s">
        <v>273</v>
      </c>
      <c r="C11" s="9">
        <v>12861770</v>
      </c>
      <c r="D11" s="14" t="s">
        <v>3</v>
      </c>
      <c r="E11" s="1"/>
      <c r="F11" s="1"/>
    </row>
    <row r="12" spans="1:6" x14ac:dyDescent="0.25">
      <c r="A12" s="1"/>
      <c r="B12" s="81"/>
      <c r="C12" s="9"/>
      <c r="D12" s="14" t="s">
        <v>3</v>
      </c>
      <c r="E12" s="1"/>
      <c r="F12" s="1"/>
    </row>
    <row r="13" spans="1:6" x14ac:dyDescent="0.25">
      <c r="A13" s="1"/>
      <c r="B13" s="29"/>
      <c r="C13" s="9"/>
      <c r="D13" s="14" t="s">
        <v>3</v>
      </c>
      <c r="E13" s="1"/>
      <c r="F13" s="1"/>
    </row>
    <row r="14" spans="1:6" x14ac:dyDescent="0.25">
      <c r="A14" s="1"/>
      <c r="B14" s="29"/>
      <c r="C14" s="9"/>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33" t="s">
        <v>226</v>
      </c>
      <c r="C19" s="12">
        <f>SUM(C10:C18)</f>
        <v>12945408</v>
      </c>
      <c r="D19" s="13" t="s">
        <v>3</v>
      </c>
      <c r="E19" s="1"/>
      <c r="F19" s="1"/>
    </row>
    <row r="20" spans="1:6" x14ac:dyDescent="0.25">
      <c r="A20" s="1"/>
      <c r="B20" s="33" t="s">
        <v>227</v>
      </c>
      <c r="C20" s="12">
        <f>C19*(1+'Fane 15. Nøgletal'!C16)^2</f>
        <v>15121901.841285119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14" t="s">
        <v>99</v>
      </c>
      <c r="C23" s="115"/>
      <c r="D23" s="116"/>
      <c r="E23" s="1"/>
      <c r="F23" s="1"/>
    </row>
    <row r="24" spans="1:6" x14ac:dyDescent="0.25">
      <c r="A24" s="1"/>
      <c r="B24" s="81" t="s">
        <v>109</v>
      </c>
      <c r="C24" s="9">
        <v>16427</v>
      </c>
      <c r="D24" s="14" t="s">
        <v>3</v>
      </c>
      <c r="E24" s="1"/>
      <c r="F24" s="1"/>
    </row>
    <row r="25" spans="1:6" x14ac:dyDescent="0.25">
      <c r="A25" s="1"/>
      <c r="B25" s="81" t="s">
        <v>123</v>
      </c>
      <c r="C25" s="9">
        <v>16472</v>
      </c>
      <c r="D25" s="14" t="s">
        <v>3</v>
      </c>
      <c r="E25" s="1"/>
      <c r="F25" s="1"/>
    </row>
    <row r="26" spans="1:6" x14ac:dyDescent="0.25">
      <c r="A26" s="1"/>
      <c r="B26" s="81" t="s">
        <v>142</v>
      </c>
      <c r="C26" s="9">
        <v>3133</v>
      </c>
      <c r="D26" s="14" t="s">
        <v>3</v>
      </c>
      <c r="E26" s="1"/>
      <c r="F26" s="1"/>
    </row>
    <row r="27" spans="1:6" x14ac:dyDescent="0.25">
      <c r="A27" s="1"/>
      <c r="B27" s="34" t="s">
        <v>261</v>
      </c>
      <c r="C27" s="9">
        <v>3180</v>
      </c>
      <c r="D27" s="38" t="s">
        <v>3</v>
      </c>
      <c r="E27" s="1"/>
      <c r="F27" s="1"/>
    </row>
    <row r="28" spans="1:6" x14ac:dyDescent="0.25">
      <c r="A28" s="1"/>
      <c r="B28" s="114"/>
      <c r="C28" s="115"/>
      <c r="D28" s="116"/>
      <c r="E28" s="1"/>
      <c r="F28" s="1"/>
    </row>
    <row r="29" spans="1:6" x14ac:dyDescent="0.25">
      <c r="A29" s="1"/>
      <c r="B29" s="1"/>
      <c r="C29" s="1"/>
      <c r="D29" s="1"/>
      <c r="E29" s="1"/>
      <c r="F29" s="1"/>
    </row>
    <row r="30" spans="1:6" x14ac:dyDescent="0.25">
      <c r="A30" s="1"/>
      <c r="B30" s="1"/>
      <c r="C30" s="1"/>
      <c r="D30" s="1"/>
      <c r="E30" s="1"/>
      <c r="F30" s="1"/>
    </row>
    <row r="31" spans="1:6" x14ac:dyDescent="0.25">
      <c r="A31" s="1"/>
      <c r="B31" s="114" t="s">
        <v>81</v>
      </c>
      <c r="C31" s="115"/>
      <c r="D31" s="116"/>
      <c r="E31" s="1"/>
      <c r="F31" s="1"/>
    </row>
    <row r="32" spans="1:6" x14ac:dyDescent="0.25">
      <c r="A32" s="1"/>
      <c r="B32" s="81" t="s">
        <v>109</v>
      </c>
      <c r="C32" s="9">
        <v>0</v>
      </c>
      <c r="D32" s="14" t="s">
        <v>3</v>
      </c>
      <c r="E32" s="1"/>
      <c r="F32" s="1"/>
    </row>
    <row r="33" spans="1:6" x14ac:dyDescent="0.25">
      <c r="A33" s="1"/>
      <c r="B33" s="81" t="s">
        <v>123</v>
      </c>
      <c r="C33" s="9">
        <v>0</v>
      </c>
      <c r="D33" s="14" t="s">
        <v>3</v>
      </c>
      <c r="E33" s="1"/>
      <c r="F33" s="1"/>
    </row>
    <row r="34" spans="1:6" x14ac:dyDescent="0.25">
      <c r="A34" s="1"/>
      <c r="B34" s="81" t="s">
        <v>142</v>
      </c>
      <c r="C34" s="9">
        <v>0</v>
      </c>
      <c r="D34" s="14" t="s">
        <v>3</v>
      </c>
      <c r="E34" s="1"/>
      <c r="F34" s="1"/>
    </row>
    <row r="35" spans="1:6" x14ac:dyDescent="0.25">
      <c r="A35" s="1"/>
      <c r="B35" s="34" t="s">
        <v>261</v>
      </c>
      <c r="C35" s="9">
        <v>0</v>
      </c>
      <c r="D35" s="38" t="s">
        <v>3</v>
      </c>
      <c r="E35" s="1"/>
      <c r="F35" s="1"/>
    </row>
    <row r="36" spans="1:6" x14ac:dyDescent="0.25">
      <c r="A36" s="1"/>
      <c r="B36" s="114"/>
      <c r="C36" s="115"/>
      <c r="D36" s="116"/>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bJaxWK/aUX3PNAiImxuEPE3gqrKPiELvpYy6EFxspi+lLLbzHXxoc4kkrzJbf6AbjLTBkhw59mwdeudQBId7g==" saltValue="+E41lG0B1rVz99hur7yVQQ==" spinCount="100000" sheet="1" objects="1" scenarios="1"/>
  <mergeCells count="6">
    <mergeCell ref="B36:D36"/>
    <mergeCell ref="B3:D4"/>
    <mergeCell ref="B8:D8"/>
    <mergeCell ref="B23:D23"/>
    <mergeCell ref="B31:D31"/>
    <mergeCell ref="B28:D2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D2F9-0BA2-4291-9EE6-46A032A0F3FA}">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274</v>
      </c>
      <c r="C9" s="118"/>
      <c r="D9" s="119"/>
      <c r="E9" s="9">
        <v>1004512</v>
      </c>
      <c r="F9" s="14" t="s">
        <v>3</v>
      </c>
      <c r="G9" s="1"/>
    </row>
    <row r="10" spans="1:7" ht="15" customHeight="1" x14ac:dyDescent="0.25">
      <c r="A10" s="1"/>
      <c r="B10" s="117" t="s">
        <v>143</v>
      </c>
      <c r="C10" s="118"/>
      <c r="D10" s="119"/>
      <c r="E10" s="9">
        <v>-1889729</v>
      </c>
      <c r="F10" s="14" t="s">
        <v>3</v>
      </c>
      <c r="G10" s="1"/>
    </row>
    <row r="11" spans="1:7" ht="15" customHeight="1" x14ac:dyDescent="0.25">
      <c r="A11" s="1"/>
      <c r="B11" s="117" t="s">
        <v>275</v>
      </c>
      <c r="C11" s="118"/>
      <c r="D11" s="119"/>
      <c r="E11" s="9">
        <v>-5633924</v>
      </c>
      <c r="F11" s="14" t="s">
        <v>3</v>
      </c>
      <c r="G11" s="1"/>
    </row>
    <row r="12" spans="1:7" x14ac:dyDescent="0.25">
      <c r="A12" s="1"/>
      <c r="B12" s="33"/>
      <c r="C12" s="28"/>
      <c r="D12" s="28"/>
      <c r="E12" s="28"/>
      <c r="F12" s="19"/>
      <c r="G12" s="1"/>
    </row>
    <row r="13" spans="1:7" ht="42" customHeight="1" x14ac:dyDescent="0.25">
      <c r="A13" s="1"/>
      <c r="B13" s="126" t="s">
        <v>276</v>
      </c>
      <c r="C13" s="127"/>
      <c r="D13" s="127"/>
      <c r="E13" s="127"/>
      <c r="F13" s="128"/>
      <c r="G13" s="1"/>
    </row>
    <row r="14" spans="1:7" ht="15" customHeight="1" x14ac:dyDescent="0.25">
      <c r="A14" s="1"/>
      <c r="B14" s="1"/>
      <c r="C14" s="1"/>
      <c r="D14" s="1"/>
      <c r="E14" s="1"/>
      <c r="F14" s="1"/>
      <c r="G14" s="1"/>
    </row>
    <row r="15" spans="1:7" x14ac:dyDescent="0.25">
      <c r="A15" s="1"/>
      <c r="B15" s="75" t="s">
        <v>277</v>
      </c>
      <c r="C15" s="76"/>
      <c r="D15" s="76"/>
      <c r="E15" s="76"/>
      <c r="F15" s="77"/>
      <c r="G15" s="1"/>
    </row>
    <row r="16" spans="1:7" x14ac:dyDescent="0.25">
      <c r="A16" s="1"/>
      <c r="B16" s="78" t="s">
        <v>278</v>
      </c>
      <c r="C16" s="79"/>
      <c r="D16" s="80"/>
      <c r="E16" s="9">
        <f>IF(E11&lt;0,E11,0)</f>
        <v>-5633924</v>
      </c>
      <c r="F16" s="14" t="s">
        <v>3</v>
      </c>
      <c r="G16" s="1"/>
    </row>
    <row r="17" spans="1:7" x14ac:dyDescent="0.25">
      <c r="A17" s="1"/>
      <c r="B17" s="78" t="s">
        <v>279</v>
      </c>
      <c r="C17" s="79"/>
      <c r="D17" s="80"/>
      <c r="E17" s="9">
        <f>IF(SUM(E10)&gt;0,SUM(E10),0)</f>
        <v>0</v>
      </c>
      <c r="F17" s="14" t="s">
        <v>3</v>
      </c>
      <c r="G17" s="1"/>
    </row>
    <row r="18" spans="1:7" x14ac:dyDescent="0.25">
      <c r="A18" s="1"/>
      <c r="B18" s="82" t="s">
        <v>280</v>
      </c>
      <c r="C18" s="83"/>
      <c r="D18" s="84"/>
      <c r="E18" s="62">
        <f>IF(SUM(E16:E17)&gt;0,0,SUM(E16:E17))</f>
        <v>-5633924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281</v>
      </c>
      <c r="C21" s="76"/>
      <c r="D21" s="76"/>
      <c r="E21" s="76"/>
      <c r="F21" s="77"/>
      <c r="G21" s="1"/>
    </row>
    <row r="22" spans="1:7" x14ac:dyDescent="0.25">
      <c r="A22" s="1"/>
      <c r="B22" s="78" t="s">
        <v>282</v>
      </c>
      <c r="C22" s="79"/>
      <c r="D22" s="80"/>
      <c r="E22" s="9">
        <v>34331995</v>
      </c>
      <c r="F22" s="14" t="s">
        <v>3</v>
      </c>
      <c r="G22" s="1"/>
    </row>
    <row r="23" spans="1:7" x14ac:dyDescent="0.25">
      <c r="A23" s="1"/>
      <c r="B23" s="78" t="s">
        <v>283</v>
      </c>
      <c r="C23" s="79"/>
      <c r="D23" s="80"/>
      <c r="E23" s="9">
        <v>33004676</v>
      </c>
      <c r="F23" s="14" t="s">
        <v>3</v>
      </c>
      <c r="G23" s="1"/>
    </row>
    <row r="24" spans="1:7" x14ac:dyDescent="0.25">
      <c r="A24" s="1"/>
      <c r="B24" s="78" t="s">
        <v>30</v>
      </c>
      <c r="C24" s="79"/>
      <c r="D24" s="80"/>
      <c r="E24" s="9">
        <v>0</v>
      </c>
      <c r="F24" s="14" t="s">
        <v>3</v>
      </c>
      <c r="G24" s="1"/>
    </row>
    <row r="25" spans="1:7" x14ac:dyDescent="0.25">
      <c r="A25" s="1"/>
      <c r="B25" s="82" t="s">
        <v>284</v>
      </c>
      <c r="C25" s="83"/>
      <c r="D25" s="84"/>
      <c r="E25" s="62">
        <f>E22-E23-E24</f>
        <v>1327319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285</v>
      </c>
      <c r="C28" s="115"/>
      <c r="D28" s="115"/>
      <c r="E28" s="115"/>
      <c r="F28" s="116"/>
      <c r="G28" s="1"/>
    </row>
    <row r="29" spans="1:7" x14ac:dyDescent="0.25">
      <c r="A29" s="1"/>
      <c r="B29" s="132" t="s">
        <v>116</v>
      </c>
      <c r="C29" s="133"/>
      <c r="D29" s="134"/>
      <c r="E29" s="9">
        <f>IF(E18&lt;0,IF(E25&lt;0,SUM(E18,E25),IF(E10&gt;0,SUM(E10:E11),E18)),IF(AND(E25&lt;0,SUM(E25,E11)&lt;0),IF(E11&lt;0,E25,IF(SUM(E10:E11)&gt;0,SUM(E25,E11),IF(AND(E25&lt;0,E18=0,E11&gt;0),IF(SUM(E9:E11)&gt;0,E25+E11,E25)))),0))</f>
        <v>-5633924</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-2816962</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esnv/GHkFSizasKpMqbhNxC4yD7OjjcPY9hFATHNq5ber9/02Pg5x/5TIOBk2+6+i0slNmk3O65e5s+cuCB2vA==" saltValue="aX04i6kF9iTSORfAQyFD4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4++OBqI9ej0tkTx0YMIryXPLQaJDw/WIMibV6DyPEzhbjuWq/etCW2AbfwTXPZcHUwwtFS6woc68vRoVQ3QhZw==" saltValue="oYBJjEg23mSNQhsmAmYfZ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228</v>
      </c>
      <c r="C9" s="115"/>
      <c r="D9" s="115"/>
      <c r="E9" s="115"/>
      <c r="F9" s="116"/>
      <c r="G9" s="1"/>
    </row>
    <row r="10" spans="1:7" x14ac:dyDescent="0.25">
      <c r="A10" s="1"/>
      <c r="B10" s="126" t="s">
        <v>82</v>
      </c>
      <c r="C10" s="127"/>
      <c r="D10" s="128"/>
      <c r="E10" s="7">
        <v>0</v>
      </c>
      <c r="F10" s="8" t="s">
        <v>3</v>
      </c>
      <c r="G10" s="1"/>
    </row>
    <row r="11" spans="1:7" x14ac:dyDescent="0.25">
      <c r="A11" s="1"/>
      <c r="B11" s="117" t="s">
        <v>229</v>
      </c>
      <c r="C11" s="118"/>
      <c r="D11" s="119"/>
      <c r="E11" s="7">
        <v>0</v>
      </c>
      <c r="F11" s="8" t="s">
        <v>3</v>
      </c>
      <c r="G11" s="1"/>
    </row>
    <row r="12" spans="1:7" x14ac:dyDescent="0.25">
      <c r="A12" s="1"/>
      <c r="B12" s="135" t="s">
        <v>83</v>
      </c>
      <c r="C12" s="136"/>
      <c r="D12" s="137"/>
      <c r="E12" s="10">
        <f>E11-E10</f>
        <v>0</v>
      </c>
      <c r="F12" s="11" t="s">
        <v>3</v>
      </c>
      <c r="G12" s="1"/>
    </row>
    <row r="13" spans="1:7" x14ac:dyDescent="0.25">
      <c r="A13" s="1"/>
      <c r="B13" s="114" t="s">
        <v>78</v>
      </c>
      <c r="C13" s="115"/>
      <c r="D13" s="115"/>
      <c r="E13" s="115"/>
      <c r="F13" s="116"/>
      <c r="G13" s="1"/>
    </row>
    <row r="14" spans="1:7" x14ac:dyDescent="0.25">
      <c r="A14" s="1"/>
      <c r="B14" s="117" t="s">
        <v>230</v>
      </c>
      <c r="C14" s="118"/>
      <c r="D14" s="119"/>
      <c r="E14" s="7">
        <v>16337</v>
      </c>
      <c r="F14" s="8" t="s">
        <v>3</v>
      </c>
      <c r="G14" s="1"/>
    </row>
    <row r="15" spans="1:7" x14ac:dyDescent="0.25">
      <c r="A15" s="1"/>
      <c r="B15" s="126" t="s">
        <v>231</v>
      </c>
      <c r="C15" s="127"/>
      <c r="D15" s="128"/>
      <c r="E15" s="7">
        <v>0</v>
      </c>
      <c r="F15" s="8" t="s">
        <v>3</v>
      </c>
      <c r="G15" s="1"/>
    </row>
    <row r="16" spans="1:7" x14ac:dyDescent="0.25">
      <c r="A16" s="1"/>
      <c r="B16" s="135" t="s">
        <v>83</v>
      </c>
      <c r="C16" s="136"/>
      <c r="D16" s="137"/>
      <c r="E16" s="10">
        <f>E15-E14</f>
        <v>-16337</v>
      </c>
      <c r="F16" s="11" t="s">
        <v>3</v>
      </c>
      <c r="G16" s="1"/>
    </row>
    <row r="17" spans="1:7" x14ac:dyDescent="0.25">
      <c r="A17" s="1"/>
      <c r="B17" s="33" t="s">
        <v>232</v>
      </c>
      <c r="C17" s="28"/>
      <c r="D17" s="28"/>
      <c r="E17" s="12">
        <f>E12+E16</f>
        <v>-16337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aTYyyLItKthhmc5hCMnu9Qa4wUZggUYuBrNlh4DC4IaSoyf2K6IrgjNNERRi493xCC+osVgJtehprT9OcUzw==" saltValue="pjrOfyTxMax4dMvLl+K/m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J0lRS03dzOvoteGmslYUpirq3MelzOCSKtf9B3DZZeow7l6sNuNB0DKKHYQbH7rHGuj2cbYVADfEKozoNJGJA==" saltValue="X7sdPLTpOTgEtrUECLfO4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286</v>
      </c>
      <c r="C11" s="21">
        <v>0</v>
      </c>
      <c r="D11" s="14" t="s">
        <v>3</v>
      </c>
      <c r="E11" s="9">
        <v>29287</v>
      </c>
      <c r="F11" s="14" t="s">
        <v>3</v>
      </c>
      <c r="G11" s="1"/>
    </row>
    <row r="12" spans="1:7" x14ac:dyDescent="0.25">
      <c r="A12" s="1"/>
      <c r="B12" s="24" t="s">
        <v>287</v>
      </c>
      <c r="C12" s="21">
        <v>2441</v>
      </c>
      <c r="D12" s="14" t="s">
        <v>3</v>
      </c>
      <c r="E12" s="9">
        <v>108320</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2441</v>
      </c>
      <c r="D19" s="13" t="s">
        <v>3</v>
      </c>
      <c r="E19" s="12">
        <f>SUM(E10:E18)</f>
        <v>137607</v>
      </c>
      <c r="F19" s="13" t="s">
        <v>3</v>
      </c>
      <c r="G19" s="1"/>
    </row>
    <row r="20" spans="1:7" x14ac:dyDescent="0.25">
      <c r="A20" s="1"/>
      <c r="B20" s="33" t="s">
        <v>233</v>
      </c>
      <c r="C20" s="12">
        <f>C19*(1+'Fane 15. Nøgletal'!C16)</f>
        <v>2638.2327999999998</v>
      </c>
      <c r="D20" s="13" t="s">
        <v>3</v>
      </c>
      <c r="E20" s="12">
        <f>E19*(1+'Fane 15. Nøgletal'!C16)</f>
        <v>148725.64559999999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mLPFRn2G9iSoh1EZ5YaQLNacjVg2Cow6CFRro5/Nn1L+eX+OxmfYg5MJzXKIq6rdfV1qdb0n8pESTG24eOspg==" saltValue="BhYlbgXmucmpGTvs9TXVe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260</v>
      </c>
      <c r="C8" s="115"/>
      <c r="D8" s="115"/>
      <c r="E8" s="115"/>
      <c r="F8" s="116"/>
      <c r="G8" s="1"/>
    </row>
    <row r="9" spans="1:7" x14ac:dyDescent="0.25">
      <c r="A9" s="1"/>
      <c r="B9" s="86" t="s">
        <v>17</v>
      </c>
      <c r="C9" s="86" t="s">
        <v>11</v>
      </c>
      <c r="D9" s="87"/>
      <c r="E9" s="86" t="s">
        <v>28</v>
      </c>
      <c r="F9" s="32"/>
      <c r="G9" s="1"/>
    </row>
    <row r="10" spans="1:7" x14ac:dyDescent="0.25">
      <c r="A10" s="1"/>
      <c r="B10" s="24" t="s">
        <v>288</v>
      </c>
      <c r="C10" s="21">
        <v>625950</v>
      </c>
      <c r="D10" s="14" t="s">
        <v>3</v>
      </c>
      <c r="E10" s="9">
        <v>0</v>
      </c>
      <c r="F10" s="14" t="s">
        <v>3</v>
      </c>
      <c r="G10" s="1"/>
    </row>
    <row r="11" spans="1:7" x14ac:dyDescent="0.25">
      <c r="A11" s="1"/>
      <c r="B11" s="24" t="s">
        <v>289</v>
      </c>
      <c r="C11" s="21">
        <v>537652</v>
      </c>
      <c r="D11" s="14" t="s">
        <v>3</v>
      </c>
      <c r="E11" s="9">
        <v>0</v>
      </c>
      <c r="F11" s="14" t="s">
        <v>3</v>
      </c>
      <c r="G11" s="1"/>
    </row>
    <row r="12" spans="1:7" x14ac:dyDescent="0.25">
      <c r="A12" s="1"/>
      <c r="B12" s="24"/>
      <c r="C12" s="21"/>
      <c r="D12" s="14"/>
      <c r="E12" s="9"/>
      <c r="F12" s="14"/>
      <c r="G12" s="1"/>
    </row>
    <row r="13" spans="1:7" x14ac:dyDescent="0.25">
      <c r="A13" s="1"/>
      <c r="B13" s="33" t="s">
        <v>234</v>
      </c>
      <c r="C13" s="12">
        <f>SUM(C10:C12)</f>
        <v>1163602</v>
      </c>
      <c r="D13" s="13" t="s">
        <v>3</v>
      </c>
      <c r="E13" s="12">
        <f>SUM(E10:E12)</f>
        <v>0</v>
      </c>
      <c r="F13" s="13" t="s">
        <v>3</v>
      </c>
      <c r="G13" s="1"/>
    </row>
    <row r="14" spans="1:7" x14ac:dyDescent="0.25">
      <c r="A14" s="1"/>
      <c r="B14" s="33" t="s">
        <v>235</v>
      </c>
      <c r="C14" s="12">
        <f>C13*(1+'Fane 15. Nøgletal'!C16)^2</f>
        <v>1359236.8217612798</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b6VQI6pK5d1nRBliFd5jQROzQl9v+eUUFKoVbXgEcBSVNR5EDGTHtWEPamYP81PhQWoxbhcES233pr7bAR3oQ==" saltValue="SGAkvIkzvEjiqEZA+d80h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4" t="s">
        <v>111</v>
      </c>
      <c r="C13" s="115"/>
      <c r="D13" s="116"/>
      <c r="E13" s="12">
        <f>SUM(E10:E12)*(1+'Fane 15. Nøgletal'!C16)^2</f>
        <v>0</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4" t="s">
        <v>125</v>
      </c>
      <c r="C19" s="115"/>
      <c r="D19" s="116"/>
      <c r="E19" s="12">
        <f>SUM(E16:E18)*(1+'Fane 15. Nøgletal'!C16)^3</f>
        <v>0</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4" t="s">
        <v>146</v>
      </c>
      <c r="C25" s="115"/>
      <c r="D25" s="116"/>
      <c r="E25" s="12">
        <f>SUM(E22:E24)*(1+'Fane 15. Nøgletal'!C16)^4</f>
        <v>0</v>
      </c>
      <c r="F25" s="13" t="s">
        <v>3</v>
      </c>
      <c r="G25" s="1"/>
    </row>
    <row r="26" spans="1:7" x14ac:dyDescent="0.25">
      <c r="A26" s="1"/>
      <c r="B26" s="1"/>
      <c r="C26" s="1"/>
      <c r="D26" s="1"/>
      <c r="E26" s="1"/>
      <c r="F26" s="1"/>
      <c r="G26" s="1"/>
    </row>
    <row r="27" spans="1:7" ht="15" customHeight="1" x14ac:dyDescent="0.25">
      <c r="A27" s="1"/>
      <c r="B27" s="114" t="s">
        <v>237</v>
      </c>
      <c r="C27" s="115"/>
      <c r="D27" s="115"/>
      <c r="E27" s="115"/>
      <c r="F27" s="116"/>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4" t="s">
        <v>238</v>
      </c>
      <c r="C31" s="115"/>
      <c r="D31" s="116"/>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vT34XOcKGo5uWkwPymZ8/TFJ9ZxqrZxlGqZYTVqqzIAtTPvCWBLg+2mrd4KMxST4ytiNhxp2qQgEJt2CV1oiA==" saltValue="gVY3Q+Zuvbrbadir8ZfM5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72"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k4o03Oh5wHqrj1vDWZZ0fhAfpwnomj+r5ExuP8nVDxHYPESuN0jOKGIq8Se8bKO6GBRxzhcKcM/Qm3EWGtFQXg==" saltValue="gLJo/ct6oPKoVfhSnWtuM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240</v>
      </c>
      <c r="C9" s="115"/>
      <c r="D9" s="115"/>
      <c r="E9" s="115"/>
      <c r="F9" s="116"/>
      <c r="G9" s="1"/>
    </row>
    <row r="10" spans="1:7" ht="26.25" customHeight="1" x14ac:dyDescent="0.25">
      <c r="A10" s="1"/>
      <c r="B10" s="31" t="s">
        <v>18</v>
      </c>
      <c r="C10" s="144" t="s">
        <v>11</v>
      </c>
      <c r="D10" s="146"/>
      <c r="E10" s="144" t="s">
        <v>28</v>
      </c>
      <c r="F10" s="146"/>
      <c r="G10" s="1"/>
    </row>
    <row r="11" spans="1:7" x14ac:dyDescent="0.25">
      <c r="A11" s="1"/>
      <c r="B11" s="72"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15pUK+CkPf7pjRVda897yUmyHR3s4GT3xwABI8ixWuepbTMSovg7xaZqgt3wdTL13mx/ECxIT0LBBVaM7/BhoA==" saltValue="3+y5MqE5dfyN28cWnp6PB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22087727.999899372</v>
      </c>
      <c r="D9" s="8" t="s">
        <v>3</v>
      </c>
      <c r="E9" s="1"/>
    </row>
    <row r="10" spans="1:5" ht="17.25" customHeight="1" x14ac:dyDescent="0.25">
      <c r="A10" s="1"/>
      <c r="B10" s="88" t="s">
        <v>36</v>
      </c>
      <c r="C10" s="7">
        <f>'Fane 11.1. Varige tillæg'!C20</f>
        <v>2638.2327999999998</v>
      </c>
      <c r="D10" s="8" t="s">
        <v>3</v>
      </c>
      <c r="E10" s="1"/>
    </row>
    <row r="11" spans="1:5" ht="17.25" customHeight="1" x14ac:dyDescent="0.25">
      <c r="A11" s="1"/>
      <c r="B11" s="88" t="s">
        <v>37</v>
      </c>
      <c r="C11" s="9">
        <f>'Fane 11.1. Varige tillæg'!E20</f>
        <v>148725.64559999999</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1796918.6237665892</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-140605.84223000458</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23895404.659835957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omk.'!C20+'Fane 6. Ikke-påvirkelige omk.'!C24+'Fane 6. Ikke-påvirkelige omk.'!C32</f>
        <v>15138328.841285119</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66">
        <f>'Fane 11.2. Engangstillæg'!C14</f>
        <v>1359236.8217612798</v>
      </c>
      <c r="D26" s="8" t="s">
        <v>3</v>
      </c>
      <c r="E26" s="1"/>
    </row>
    <row r="27" spans="1:5" ht="15" customHeight="1" x14ac:dyDescent="0.25">
      <c r="A27" s="1"/>
      <c r="B27" s="88" t="s">
        <v>70</v>
      </c>
      <c r="C27" s="41">
        <f>'Fane 11.2. Engangstillæg'!E14</f>
        <v>0</v>
      </c>
      <c r="D27" s="8" t="s">
        <v>3</v>
      </c>
      <c r="E27" s="1"/>
    </row>
    <row r="28" spans="1:5" ht="15" customHeight="1" x14ac:dyDescent="0.25">
      <c r="A28" s="1"/>
      <c r="B28" s="88" t="s">
        <v>161</v>
      </c>
      <c r="C28" s="66">
        <f>-C26*('Fane 15. Nøgletal'!C33+'Fane 5. Individuelt eff. krav'!G9)</f>
        <v>-27184.736435225597</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1" t="s">
        <v>75</v>
      </c>
      <c r="C30" s="10">
        <f>SUM(C26:C29)</f>
        <v>1332052.0853260541</v>
      </c>
      <c r="D30" s="11" t="s">
        <v>3</v>
      </c>
      <c r="E30" s="1"/>
    </row>
    <row r="31" spans="1:5" x14ac:dyDescent="0.25">
      <c r="A31" s="1"/>
      <c r="B31" s="33" t="s">
        <v>116</v>
      </c>
      <c r="C31" s="28"/>
      <c r="D31" s="19"/>
      <c r="E31" s="1"/>
    </row>
    <row r="32" spans="1:5" x14ac:dyDescent="0.25">
      <c r="A32" s="1"/>
      <c r="B32" s="31" t="s">
        <v>138</v>
      </c>
      <c r="C32" s="10">
        <f>'Fane 7. Kontrol af ØR2022'!E31</f>
        <v>-2816962</v>
      </c>
      <c r="D32" s="11" t="s">
        <v>3</v>
      </c>
      <c r="E32" s="1"/>
    </row>
    <row r="33" spans="1:5" ht="15" customHeight="1" x14ac:dyDescent="0.25">
      <c r="A33" s="1"/>
      <c r="B33" s="33" t="s">
        <v>200</v>
      </c>
      <c r="C33" s="28"/>
      <c r="D33" s="19"/>
      <c r="E33" s="1"/>
    </row>
    <row r="34" spans="1:5" x14ac:dyDescent="0.25">
      <c r="A34" s="1"/>
      <c r="B34" s="31" t="s">
        <v>200</v>
      </c>
      <c r="C34" s="10">
        <f>'Fane 9. Korrektion af ØR2022'!E17</f>
        <v>-16337</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3" t="s">
        <v>108</v>
      </c>
      <c r="C37" s="49">
        <f>SUM(C34,C32,C24,C30,C22,C20,C36)</f>
        <v>37532486.586447135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g824I5N+61s1UgAVXcEYfYW0nAlsFaI09WNs4A4yPxTWdmhMjOqMCBqbOMLtgDzh3rfvUeB+g2NaCB1xvUzKQ==" saltValue="IPFGMnKLNenzw2qqn6iAq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SbpfiRaOCwte18hEe/yqD7HRThQJFjPwzQog1xCzjO52eWKubodIzEifFi+NVndpgdYpJFLs9QzxnxCGWTADaA==" saltValue="eUgpMGTIEZF+PB7/85/71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23895404.659835957</v>
      </c>
      <c r="D9" s="8" t="s">
        <v>3</v>
      </c>
      <c r="E9" s="1"/>
    </row>
    <row r="10" spans="1:5" ht="15" customHeight="1" x14ac:dyDescent="0.25">
      <c r="A10" s="1"/>
      <c r="B10" s="26" t="s">
        <v>19</v>
      </c>
      <c r="C10" s="7">
        <f>SUM(C9:C9)*'Fane 15. Nøgletal'!C16</f>
        <v>1930748.6965147452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-148927.45839654515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25677225.897954155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Nøgletal'!C16)+'Fane 6. Ikke-påvirkelige omk.'!C25+'Fane 6. Ikke-påvirkelige omk.'!C33</f>
        <v>16360223.510060957</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-2816962</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39220487.40801511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wRaTQmlwrwO/PRZnedWP+rOl04u1DIKz8vBr+Ca9ztycYdw73WTlzcKfW9I2cxMjj37wAw5xArLv2395RdD7w==" saltValue="Z3I9hJ0Y5pjSmP4zc4XHE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25677225.897954155</v>
      </c>
      <c r="D9" s="8" t="s">
        <v>3</v>
      </c>
      <c r="E9" s="1"/>
    </row>
    <row r="10" spans="1:5" ht="15" customHeight="1" x14ac:dyDescent="0.25">
      <c r="A10" s="1"/>
      <c r="B10" s="26" t="s">
        <v>19</v>
      </c>
      <c r="C10" s="7">
        <f>SUM(C9:C9)*'Fane 15. Nøgletal'!C16</f>
        <v>2074719.8525546957</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-157741.58109428626</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27594204.169414565</v>
      </c>
      <c r="D14" s="11" t="s">
        <v>3</v>
      </c>
      <c r="E14" s="1"/>
    </row>
    <row r="15" spans="1:5" x14ac:dyDescent="0.25">
      <c r="A15" s="1"/>
      <c r="B15" s="33" t="s">
        <v>12</v>
      </c>
      <c r="C15" s="28"/>
      <c r="D15" s="19"/>
      <c r="E15" s="1"/>
    </row>
    <row r="16" spans="1:5" ht="15" customHeight="1" x14ac:dyDescent="0.25">
      <c r="A16" s="1"/>
      <c r="B16" s="31" t="s">
        <v>12</v>
      </c>
      <c r="C16" s="10">
        <f>'Fane 6. Ikke-påvirkelige omk.'!C20*(1+'Fane 15. Nøgletal'!C16)^2+'Fane 6. Ikke-påvirkelige omk.'!C26+'Fane 6. Ikke-påvirkelige omk.'!C34</f>
        <v>17667459.632073879</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45261663.801488444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hv14+9p70Vhkqd+IyBMjrUnubTiixlbLWeLnEoMUqU8hGONJ5qTR+isf38inKYQ63k7bqx0G2DLx2NYY3WN8A==" saltValue="pBg8vQFUBUgVyo31ySklj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27594204.169414565</v>
      </c>
      <c r="D9" s="8" t="s">
        <v>3</v>
      </c>
      <c r="E9" s="1"/>
      <c r="F9" s="1"/>
    </row>
    <row r="10" spans="1:6" ht="15" customHeight="1" x14ac:dyDescent="0.25">
      <c r="A10" s="1"/>
      <c r="B10" s="26" t="s">
        <v>19</v>
      </c>
      <c r="C10" s="7">
        <f>SUM(C9:C9)*'Fane 15. Nøgletal'!C16</f>
        <v>2229611.6968886969</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-167077.35882977047</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29656738.507473491</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omk.'!C20*(1+'Fane 15. Nøgletal'!C16)^3+'Fane 6. Ikke-påvirkelige omk.'!C27+'Fane 6. Ikke-påvirkelige omk.'!C35</f>
        <v>19094784.22394545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48751522.731418937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k5xzjjVHt8lZMyfw/UAWB2tGYecZaFSYHPGMt7b7nF3MeiqtUIs3iiHpoJ33PQqu3UGO8nFHX0XIpTjxLDmy4g==" saltValue="xIADWCKY2HDTxJBt1yeGb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20514433.107913304</v>
      </c>
      <c r="D9" s="8" t="s">
        <v>3</v>
      </c>
      <c r="E9" s="1"/>
    </row>
    <row r="10" spans="1:5" x14ac:dyDescent="0.25">
      <c r="A10" s="1"/>
      <c r="B10" s="88" t="s">
        <v>36</v>
      </c>
      <c r="C10" s="7">
        <v>128977.76640000001</v>
      </c>
      <c r="D10" s="8" t="s">
        <v>3</v>
      </c>
      <c r="E10" s="1"/>
    </row>
    <row r="11" spans="1:5" x14ac:dyDescent="0.25">
      <c r="A11" s="1"/>
      <c r="B11" s="88" t="s">
        <v>37</v>
      </c>
      <c r="C11" s="9">
        <v>1747304.7084000001</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134493.28535899392</v>
      </c>
      <c r="D16" s="8" t="s">
        <v>3</v>
      </c>
      <c r="E16" s="1"/>
    </row>
    <row r="17" spans="1:5" x14ac:dyDescent="0.25">
      <c r="A17" s="1"/>
      <c r="B17" s="88" t="s">
        <v>10</v>
      </c>
      <c r="C17" s="41">
        <v>-94425.697142869729</v>
      </c>
      <c r="D17" s="8" t="s">
        <v>3</v>
      </c>
      <c r="E17" s="1"/>
    </row>
    <row r="18" spans="1:5" x14ac:dyDescent="0.25">
      <c r="A18" s="1"/>
      <c r="B18" s="88" t="s">
        <v>23</v>
      </c>
      <c r="C18" s="41">
        <v>-132695.37133283715</v>
      </c>
      <c r="D18" s="8" t="s">
        <v>3</v>
      </c>
      <c r="E18" s="1"/>
    </row>
    <row r="19" spans="1:5" x14ac:dyDescent="0.25">
      <c r="A19" s="1"/>
      <c r="B19" s="88" t="s">
        <v>24</v>
      </c>
      <c r="C19" s="41">
        <v>-210359.79969722047</v>
      </c>
      <c r="D19" s="8" t="s">
        <v>3</v>
      </c>
      <c r="E19" s="47"/>
    </row>
    <row r="20" spans="1:5" x14ac:dyDescent="0.25">
      <c r="A20" s="1"/>
      <c r="B20" s="82" t="s">
        <v>21</v>
      </c>
      <c r="C20" s="10">
        <v>22087727.999899372</v>
      </c>
      <c r="D20" s="11" t="s">
        <v>3</v>
      </c>
      <c r="E20" s="1"/>
    </row>
    <row r="21" spans="1:5" x14ac:dyDescent="0.25">
      <c r="A21" s="1"/>
      <c r="B21" s="33" t="s">
        <v>12</v>
      </c>
      <c r="C21" s="28"/>
      <c r="D21" s="19"/>
      <c r="E21" s="1"/>
    </row>
    <row r="22" spans="1:5" x14ac:dyDescent="0.25">
      <c r="A22" s="1"/>
      <c r="B22" s="31" t="s">
        <v>12</v>
      </c>
      <c r="C22" s="10">
        <v>14804778.812285243</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70">
        <v>3053691.0099633601</v>
      </c>
      <c r="D26" s="8" t="s">
        <v>3</v>
      </c>
      <c r="E26" s="1"/>
    </row>
    <row r="27" spans="1:5" x14ac:dyDescent="0.25">
      <c r="A27" s="1"/>
      <c r="B27" s="88" t="s">
        <v>70</v>
      </c>
      <c r="C27" s="70">
        <v>0</v>
      </c>
      <c r="D27" s="8" t="s">
        <v>3</v>
      </c>
      <c r="E27" s="1"/>
    </row>
    <row r="28" spans="1:5" x14ac:dyDescent="0.25">
      <c r="A28" s="1"/>
      <c r="B28" s="88" t="s">
        <v>161</v>
      </c>
      <c r="C28" s="70">
        <v>-73874.895836945885</v>
      </c>
      <c r="D28" s="8" t="s">
        <v>3</v>
      </c>
      <c r="E28" s="1"/>
    </row>
    <row r="29" spans="1:5" x14ac:dyDescent="0.25">
      <c r="A29" s="1"/>
      <c r="B29" s="88" t="s">
        <v>162</v>
      </c>
      <c r="C29" s="70">
        <v>0</v>
      </c>
      <c r="D29" s="8" t="s">
        <v>3</v>
      </c>
      <c r="E29" s="1"/>
    </row>
    <row r="30" spans="1:5" x14ac:dyDescent="0.25">
      <c r="A30" s="1"/>
      <c r="B30" s="71" t="s">
        <v>75</v>
      </c>
      <c r="C30" s="10">
        <v>2979816.1141264141</v>
      </c>
      <c r="D30" s="11" t="s">
        <v>3</v>
      </c>
      <c r="E30" s="1"/>
    </row>
    <row r="31" spans="1:5" x14ac:dyDescent="0.25">
      <c r="A31" s="1"/>
      <c r="B31" s="33" t="s">
        <v>116</v>
      </c>
      <c r="C31" s="28"/>
      <c r="D31" s="19"/>
      <c r="E31" s="1"/>
    </row>
    <row r="32" spans="1:5" x14ac:dyDescent="0.25">
      <c r="A32" s="1"/>
      <c r="B32" s="31" t="s">
        <v>138</v>
      </c>
      <c r="C32" s="10">
        <v>-771161.59797885083</v>
      </c>
      <c r="D32" s="11" t="s">
        <v>3</v>
      </c>
      <c r="E32" s="1"/>
    </row>
    <row r="33" spans="1:5" x14ac:dyDescent="0.25">
      <c r="A33" s="1"/>
      <c r="B33" s="33" t="s">
        <v>266</v>
      </c>
      <c r="C33" s="28"/>
      <c r="D33" s="19"/>
      <c r="E33" s="1"/>
    </row>
    <row r="34" spans="1:5" x14ac:dyDescent="0.25">
      <c r="A34" s="1"/>
      <c r="B34" s="31" t="s">
        <v>266</v>
      </c>
      <c r="C34" s="10">
        <v>-16294</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267</v>
      </c>
      <c r="C37" s="49">
        <v>39084867.328332178</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7+Zoj/hY+B87xHd3Ud1fVsDWjKIHPSz7sgSZVS3falW7+wwLvcml2yJiUW3YMlfpHUiUxJfx+JeyfJ5hGoUH/Q==" saltValue="XpRp5elLbm3lqang+MB6J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4" t="s">
        <v>46</v>
      </c>
      <c r="C4" s="115"/>
      <c r="D4" s="115"/>
      <c r="E4" s="115"/>
      <c r="F4" s="115"/>
      <c r="G4" s="115"/>
      <c r="H4" s="116"/>
      <c r="I4" s="1"/>
    </row>
    <row r="5" spans="1:9" x14ac:dyDescent="0.25">
      <c r="A5" s="1"/>
      <c r="B5" s="117" t="s">
        <v>38</v>
      </c>
      <c r="C5" s="118"/>
      <c r="D5" s="118"/>
      <c r="E5" s="118"/>
      <c r="F5" s="119"/>
      <c r="G5" s="63">
        <v>6595718.8470146842</v>
      </c>
      <c r="H5" s="14" t="s">
        <v>3</v>
      </c>
      <c r="I5" s="1"/>
    </row>
    <row r="6" spans="1:9" x14ac:dyDescent="0.25">
      <c r="A6" s="1"/>
      <c r="B6" s="126" t="s">
        <v>102</v>
      </c>
      <c r="C6" s="127"/>
      <c r="D6" s="127"/>
      <c r="E6" s="127"/>
      <c r="F6" s="128"/>
      <c r="G6" s="67">
        <v>0</v>
      </c>
      <c r="H6" s="14" t="s">
        <v>3</v>
      </c>
      <c r="I6" s="1"/>
    </row>
    <row r="7" spans="1:9" x14ac:dyDescent="0.25">
      <c r="A7" s="1"/>
      <c r="B7" s="117" t="s">
        <v>39</v>
      </c>
      <c r="C7" s="118"/>
      <c r="D7" s="118"/>
      <c r="E7" s="118"/>
      <c r="F7" s="119"/>
      <c r="G7" s="23">
        <f>SUM(G5:G6)*'Fane 15. Nøgletal'!C33</f>
        <v>131914.37694029367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6576921.0483006937</v>
      </c>
      <c r="H11" s="14" t="s">
        <v>3</v>
      </c>
      <c r="I11" s="1"/>
    </row>
    <row r="12" spans="1:9" ht="15" customHeight="1" x14ac:dyDescent="0.25">
      <c r="A12" s="1"/>
      <c r="B12" s="117" t="s">
        <v>103</v>
      </c>
      <c r="C12" s="118"/>
      <c r="D12" s="118"/>
      <c r="E12" s="118"/>
      <c r="F12" s="119"/>
      <c r="G12" s="67">
        <v>-16851.133091707863</v>
      </c>
      <c r="H12" s="14" t="s">
        <v>3</v>
      </c>
      <c r="I12" s="1"/>
    </row>
    <row r="13" spans="1:9" x14ac:dyDescent="0.25">
      <c r="A13" s="1"/>
      <c r="B13" s="126" t="s">
        <v>100</v>
      </c>
      <c r="C13" s="127"/>
      <c r="D13" s="127"/>
      <c r="E13" s="127"/>
      <c r="F13" s="128"/>
      <c r="G13" s="67">
        <v>0</v>
      </c>
      <c r="H13" s="14" t="s">
        <v>3</v>
      </c>
      <c r="I13" s="1"/>
    </row>
    <row r="14" spans="1:9" x14ac:dyDescent="0.25">
      <c r="A14" s="1"/>
      <c r="B14" s="123" t="s">
        <v>244</v>
      </c>
      <c r="C14" s="124"/>
      <c r="D14" s="124"/>
      <c r="E14" s="124"/>
      <c r="F14" s="125"/>
      <c r="G14" s="67">
        <v>0</v>
      </c>
      <c r="H14" s="14" t="s">
        <v>3</v>
      </c>
      <c r="I14" s="1"/>
    </row>
    <row r="15" spans="1:9" x14ac:dyDescent="0.25">
      <c r="A15" s="1"/>
      <c r="B15" s="117" t="s">
        <v>41</v>
      </c>
      <c r="C15" s="118"/>
      <c r="D15" s="118"/>
      <c r="E15" s="118"/>
      <c r="F15" s="119"/>
      <c r="G15" s="23">
        <f>SUM(G11:G14)*'Fane 15. Nøgletal'!C33</f>
        <v>131201.39830417972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6541373.7159506408</v>
      </c>
      <c r="H19" s="14" t="s">
        <v>3</v>
      </c>
      <c r="I19" s="1"/>
    </row>
    <row r="20" spans="1:9" x14ac:dyDescent="0.25">
      <c r="A20" s="1"/>
      <c r="B20" s="123" t="s">
        <v>245</v>
      </c>
      <c r="C20" s="124"/>
      <c r="D20" s="124"/>
      <c r="E20" s="124"/>
      <c r="F20" s="125"/>
      <c r="G20" s="67">
        <v>0</v>
      </c>
      <c r="H20" s="14" t="s">
        <v>3</v>
      </c>
      <c r="I20" s="1"/>
    </row>
    <row r="21" spans="1:9" x14ac:dyDescent="0.25">
      <c r="A21" s="1"/>
      <c r="B21" s="117" t="s">
        <v>43</v>
      </c>
      <c r="C21" s="118"/>
      <c r="D21" s="118"/>
      <c r="E21" s="118"/>
      <c r="F21" s="119"/>
      <c r="G21" s="23">
        <f>SUM(G19:G20)*'Fane 15. Nøgletal'!C33</f>
        <v>130827.47431901282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6536834.0025917711</v>
      </c>
      <c r="H25" s="14" t="s">
        <v>3</v>
      </c>
      <c r="I25" s="1"/>
    </row>
    <row r="26" spans="1:9" x14ac:dyDescent="0.25">
      <c r="A26" s="1"/>
      <c r="B26" s="123" t="s">
        <v>246</v>
      </c>
      <c r="C26" s="124"/>
      <c r="D26" s="124"/>
      <c r="E26" s="124"/>
      <c r="F26" s="125"/>
      <c r="G26" s="67">
        <v>126947.72790810002</v>
      </c>
      <c r="H26" s="14" t="s">
        <v>3</v>
      </c>
      <c r="I26" s="1"/>
    </row>
    <row r="27" spans="1:9" x14ac:dyDescent="0.25">
      <c r="A27" s="1"/>
      <c r="B27" s="117" t="s">
        <v>45</v>
      </c>
      <c r="C27" s="118"/>
      <c r="D27" s="118"/>
      <c r="E27" s="118"/>
      <c r="F27" s="119"/>
      <c r="G27" s="23">
        <f>(G25+G26)*'Fane 15. Nøgletal'!C33</f>
        <v>133275.63460999742</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6659157.0659789043</v>
      </c>
      <c r="H31" s="14" t="s">
        <v>3</v>
      </c>
      <c r="I31" s="1"/>
    </row>
    <row r="32" spans="1:9" x14ac:dyDescent="0.25">
      <c r="A32" s="1"/>
      <c r="B32" s="117" t="s">
        <v>243</v>
      </c>
      <c r="C32" s="118"/>
      <c r="D32" s="118"/>
      <c r="E32" s="118"/>
      <c r="F32" s="119"/>
      <c r="G32" s="63">
        <v>23583.065199119999</v>
      </c>
      <c r="H32" s="14" t="s">
        <v>3</v>
      </c>
      <c r="I32" s="1"/>
    </row>
    <row r="33" spans="1:9" x14ac:dyDescent="0.25">
      <c r="A33" s="1"/>
      <c r="B33" s="117" t="s">
        <v>54</v>
      </c>
      <c r="C33" s="118"/>
      <c r="D33" s="118"/>
      <c r="E33" s="118"/>
      <c r="F33" s="119"/>
      <c r="G33" s="23">
        <f>(G31+G32)*'Fane 15. Nøgletal'!C33</f>
        <v>133654.80262356048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6570697.310138694</v>
      </c>
      <c r="H37" s="14" t="s">
        <v>3</v>
      </c>
      <c r="I37" s="1"/>
    </row>
    <row r="38" spans="1:9" x14ac:dyDescent="0.25">
      <c r="A38" s="1"/>
      <c r="B38" s="117" t="s">
        <v>242</v>
      </c>
      <c r="C38" s="118"/>
      <c r="D38" s="118"/>
      <c r="E38" s="118"/>
      <c r="F38" s="119"/>
      <c r="G38" s="63">
        <v>41359.628248320005</v>
      </c>
      <c r="H38" s="14" t="s">
        <v>3</v>
      </c>
      <c r="I38" s="1"/>
    </row>
    <row r="39" spans="1:9" x14ac:dyDescent="0.25">
      <c r="A39" s="1"/>
      <c r="B39" s="117" t="s">
        <v>128</v>
      </c>
      <c r="C39" s="118"/>
      <c r="D39" s="118"/>
      <c r="E39" s="118"/>
      <c r="F39" s="119"/>
      <c r="G39" s="23">
        <f>(G37+G38)*'Fane 15. Nøgletal'!C33</f>
        <v>132241.13876774028</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6501199.1917580171</v>
      </c>
      <c r="H43" s="14" t="s">
        <v>3</v>
      </c>
      <c r="I43" s="1"/>
    </row>
    <row r="44" spans="1:9" x14ac:dyDescent="0.25">
      <c r="A44" s="1"/>
      <c r="B44" s="120" t="s">
        <v>157</v>
      </c>
      <c r="C44" s="121"/>
      <c r="D44" s="121"/>
      <c r="E44" s="121"/>
      <c r="F44" s="122"/>
      <c r="G44" s="45">
        <v>133569.37488384001</v>
      </c>
      <c r="H44" s="14" t="s">
        <v>3</v>
      </c>
      <c r="I44" s="1"/>
    </row>
    <row r="45" spans="1:9" x14ac:dyDescent="0.25">
      <c r="A45" s="1"/>
      <c r="B45" s="117" t="s">
        <v>129</v>
      </c>
      <c r="C45" s="118"/>
      <c r="D45" s="118"/>
      <c r="E45" s="118"/>
      <c r="F45" s="119"/>
      <c r="G45" s="23">
        <f>SUM(G43:G44)*'Fane 15. Nøgletal'!C33</f>
        <v>132695.37133283715</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7027440.7094899882</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2851.4020102399995</v>
      </c>
      <c r="H53" s="14" t="s">
        <v>3</v>
      </c>
      <c r="I53" s="1"/>
    </row>
    <row r="54" spans="1:9" x14ac:dyDescent="0.25">
      <c r="A54" s="1"/>
      <c r="B54" s="117" t="s">
        <v>210</v>
      </c>
      <c r="C54" s="118"/>
      <c r="D54" s="118"/>
      <c r="E54" s="118"/>
      <c r="F54" s="119"/>
      <c r="G54" s="23">
        <f>(G52)*'Fane 15. Nøgletal'!C33+(G53)*'Fane 15. Nøgletal'!C33</f>
        <v>140605.84223000458</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8" t="s">
        <v>212</v>
      </c>
      <c r="C58" s="79"/>
      <c r="D58" s="79"/>
      <c r="E58" s="79"/>
      <c r="F58" s="80"/>
      <c r="G58" s="23">
        <f>(G52+G53-G54)*(1+'Fane 15. Nøgletal'!C16)</f>
        <v>7446372.9198272573</v>
      </c>
      <c r="H58" s="14" t="s">
        <v>3</v>
      </c>
      <c r="I58" s="1"/>
    </row>
    <row r="59" spans="1:9" x14ac:dyDescent="0.25">
      <c r="A59" s="1"/>
      <c r="B59" s="78" t="s">
        <v>211</v>
      </c>
      <c r="C59" s="79"/>
      <c r="D59" s="79"/>
      <c r="E59" s="79"/>
      <c r="F59" s="80"/>
      <c r="G59" s="23">
        <f>(G58)*'Fane 15. Nøgletal'!C33</f>
        <v>148927.45839654515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256</v>
      </c>
      <c r="C62" s="115"/>
      <c r="D62" s="115"/>
      <c r="E62" s="115"/>
      <c r="F62" s="115"/>
      <c r="G62" s="115"/>
      <c r="H62" s="116"/>
      <c r="I62" s="1"/>
    </row>
    <row r="63" spans="1:9" x14ac:dyDescent="0.25">
      <c r="A63" s="1"/>
      <c r="B63" s="78" t="s">
        <v>213</v>
      </c>
      <c r="C63" s="79"/>
      <c r="D63" s="79"/>
      <c r="E63" s="79"/>
      <c r="F63" s="80"/>
      <c r="G63" s="23">
        <f>(G58-G59)*(1+'Fane 15. Nøgletal'!C16)</f>
        <v>7887079.0547143128</v>
      </c>
      <c r="H63" s="14" t="s">
        <v>3</v>
      </c>
      <c r="I63" s="1"/>
    </row>
    <row r="64" spans="1:9" x14ac:dyDescent="0.25">
      <c r="A64" s="1"/>
      <c r="B64" s="78" t="s">
        <v>214</v>
      </c>
      <c r="C64" s="79"/>
      <c r="D64" s="79"/>
      <c r="E64" s="79"/>
      <c r="F64" s="80"/>
      <c r="G64" s="23">
        <f>(G63)*'Fane 15. Nøgletal'!C33</f>
        <v>157741.58109428626</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257</v>
      </c>
      <c r="C67" s="115"/>
      <c r="D67" s="115"/>
      <c r="E67" s="115"/>
      <c r="F67" s="115"/>
      <c r="G67" s="115"/>
      <c r="H67" s="116"/>
      <c r="I67" s="1"/>
    </row>
    <row r="68" spans="1:9" x14ac:dyDescent="0.25">
      <c r="A68" s="1"/>
      <c r="B68" s="78" t="s">
        <v>213</v>
      </c>
      <c r="C68" s="79"/>
      <c r="D68" s="79"/>
      <c r="E68" s="79"/>
      <c r="F68" s="80"/>
      <c r="G68" s="23">
        <f>(G63-G64)*(1+'Fane 15. Nøgletal'!C16)</f>
        <v>8353867.941488524</v>
      </c>
      <c r="H68" s="14" t="s">
        <v>3</v>
      </c>
      <c r="I68" s="1"/>
    </row>
    <row r="69" spans="1:9" x14ac:dyDescent="0.25">
      <c r="A69" s="1"/>
      <c r="B69" s="78" t="s">
        <v>214</v>
      </c>
      <c r="C69" s="79"/>
      <c r="D69" s="79"/>
      <c r="E69" s="79"/>
      <c r="F69" s="80"/>
      <c r="G69" s="23">
        <f>(G68)*'Fane 15. Nøgletal'!C33</f>
        <v>167077.35882977047</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RM/qrCELti+IVZS6gjvGjq/oEL5hrJgqpt/s7Chfgk7NtgSxzfWd0TsIRVHYZsGv914PnpsFMKPc2oGkrdbXZg==" saltValue="ZVgN5xdl/qLjH5kQYgG63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4" t="s">
        <v>50</v>
      </c>
      <c r="C4" s="115"/>
      <c r="D4" s="115"/>
      <c r="E4" s="115"/>
      <c r="F4" s="115"/>
      <c r="G4" s="115"/>
      <c r="H4" s="116"/>
      <c r="I4" s="1"/>
    </row>
    <row r="5" spans="1:9" x14ac:dyDescent="0.25">
      <c r="A5" s="1"/>
      <c r="B5" s="117" t="s">
        <v>55</v>
      </c>
      <c r="C5" s="118"/>
      <c r="D5" s="118"/>
      <c r="E5" s="118"/>
      <c r="F5" s="119"/>
      <c r="G5" s="63">
        <v>12723595.711666878</v>
      </c>
      <c r="H5" s="14" t="s">
        <v>3</v>
      </c>
      <c r="I5" s="1"/>
    </row>
    <row r="6" spans="1:9" x14ac:dyDescent="0.25">
      <c r="A6" s="1"/>
      <c r="B6" s="117" t="s">
        <v>51</v>
      </c>
      <c r="C6" s="118"/>
      <c r="D6" s="118"/>
      <c r="E6" s="118"/>
      <c r="F6" s="119"/>
      <c r="G6" s="23">
        <f>G5*'Fane 15. Nøgletal'!C21</f>
        <v>115784.7209761686</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23">
        <f>(G5-G6)*(1+'Fane 15. Nøgletal'!C10)</f>
        <v>12828447.683027798</v>
      </c>
      <c r="H10" s="14" t="s">
        <v>3</v>
      </c>
      <c r="I10" s="1"/>
    </row>
    <row r="11" spans="1:9" x14ac:dyDescent="0.25">
      <c r="A11" s="1"/>
      <c r="B11" s="117" t="s">
        <v>104</v>
      </c>
      <c r="C11" s="118"/>
      <c r="D11" s="118"/>
      <c r="E11" s="118"/>
      <c r="F11" s="119"/>
      <c r="G11" s="63">
        <v>3343.4076398344109</v>
      </c>
      <c r="H11" s="14" t="s">
        <v>3</v>
      </c>
      <c r="I11" s="1"/>
    </row>
    <row r="12" spans="1:9" x14ac:dyDescent="0.25">
      <c r="A12" s="1"/>
      <c r="B12" s="123" t="s">
        <v>247</v>
      </c>
      <c r="C12" s="124"/>
      <c r="D12" s="124"/>
      <c r="E12" s="124"/>
      <c r="F12" s="125"/>
      <c r="G12" s="67">
        <v>0</v>
      </c>
      <c r="H12" s="14" t="s">
        <v>3</v>
      </c>
      <c r="I12" s="1"/>
    </row>
    <row r="13" spans="1:9" x14ac:dyDescent="0.25">
      <c r="A13" s="1"/>
      <c r="B13" s="117" t="s">
        <v>58</v>
      </c>
      <c r="C13" s="118"/>
      <c r="D13" s="118"/>
      <c r="E13" s="118"/>
      <c r="F13" s="119"/>
      <c r="G13" s="23">
        <f>SUM(G10:G12)*'Fane 15. Nøgletal'!C22</f>
        <v>227122.70230481712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23">
        <f>(SUM(G10:G12)-G13)*(1+'Fane 15. Nøgletal'!C10)</f>
        <v>12825250.085159166</v>
      </c>
      <c r="H17" s="14" t="s">
        <v>3</v>
      </c>
      <c r="I17" s="1"/>
    </row>
    <row r="18" spans="1:9" x14ac:dyDescent="0.25">
      <c r="A18" s="1"/>
      <c r="B18" s="123" t="s">
        <v>248</v>
      </c>
      <c r="C18" s="124"/>
      <c r="D18" s="124"/>
      <c r="E18" s="124"/>
      <c r="F18" s="125"/>
      <c r="G18" s="63">
        <v>0</v>
      </c>
      <c r="H18" s="14" t="s">
        <v>3</v>
      </c>
      <c r="I18" s="1"/>
    </row>
    <row r="19" spans="1:9" x14ac:dyDescent="0.25">
      <c r="A19" s="1"/>
      <c r="B19" s="117" t="s">
        <v>61</v>
      </c>
      <c r="C19" s="118"/>
      <c r="D19" s="118"/>
      <c r="E19" s="118"/>
      <c r="F19" s="119"/>
      <c r="G19" s="23">
        <f>G17*'Fane 15. Nøgletal'!C22+G18*'Fane 15. Nøgletal'!C23</f>
        <v>227006.92650731723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23">
        <f>(G17+G18-G19)*(1+'Fane 15. Nøgletal'!C12)</f>
        <v>12846428.548877291</v>
      </c>
      <c r="H23" s="14" t="s">
        <v>3</v>
      </c>
      <c r="I23" s="1"/>
    </row>
    <row r="24" spans="1:9" x14ac:dyDescent="0.25">
      <c r="A24" s="1"/>
      <c r="B24" s="123" t="s">
        <v>249</v>
      </c>
      <c r="C24" s="124"/>
      <c r="D24" s="124"/>
      <c r="E24" s="124"/>
      <c r="F24" s="125"/>
      <c r="G24" s="63">
        <v>4153.95341955</v>
      </c>
      <c r="H24" s="14" t="s">
        <v>3</v>
      </c>
      <c r="I24" s="1"/>
    </row>
    <row r="25" spans="1:9" x14ac:dyDescent="0.25">
      <c r="A25" s="1"/>
      <c r="B25" s="117" t="s">
        <v>64</v>
      </c>
      <c r="C25" s="118"/>
      <c r="D25" s="118"/>
      <c r="E25" s="118"/>
      <c r="F25" s="119"/>
      <c r="G25" s="23">
        <f>(G23+G24)*'Fane 15. Nøgletal'!C24</f>
        <v>364956.5430652303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23">
        <f>(G23+G24-G25)*(1+'Fane 15. Nøgletal'!C12)</f>
        <v>12731592.790628474</v>
      </c>
      <c r="H29" s="14" t="s">
        <v>3</v>
      </c>
      <c r="I29" s="1"/>
    </row>
    <row r="30" spans="1:9" x14ac:dyDescent="0.25">
      <c r="A30" s="1"/>
      <c r="B30" s="117" t="s">
        <v>250</v>
      </c>
      <c r="C30" s="118"/>
      <c r="D30" s="118"/>
      <c r="E30" s="118"/>
      <c r="F30" s="119"/>
      <c r="G30" s="63">
        <v>1964792.6787005998</v>
      </c>
      <c r="H30" s="14" t="s">
        <v>3</v>
      </c>
      <c r="I30" s="1"/>
    </row>
    <row r="31" spans="1:9" x14ac:dyDescent="0.25">
      <c r="A31" s="1"/>
      <c r="B31" s="117" t="s">
        <v>67</v>
      </c>
      <c r="C31" s="118"/>
      <c r="D31" s="118"/>
      <c r="E31" s="118"/>
      <c r="F31" s="119"/>
      <c r="G31" s="23">
        <f>G29*'Fane 15. Nøgletal'!C24+G30*'Fane 15. Nøgletal'!C25</f>
        <v>415609.03391811514</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215</v>
      </c>
      <c r="C35" s="118"/>
      <c r="D35" s="118"/>
      <c r="E35" s="118"/>
      <c r="F35" s="119"/>
      <c r="G35" s="23">
        <f>(G29+G30-G31)*(1+'Fane 15. Nøgletal'!C14)</f>
        <v>14327902.997647816</v>
      </c>
      <c r="H35" s="14" t="s">
        <v>3</v>
      </c>
      <c r="I35" s="1"/>
    </row>
    <row r="36" spans="1:9" x14ac:dyDescent="0.25">
      <c r="A36" s="1"/>
      <c r="B36" s="117" t="s">
        <v>251</v>
      </c>
      <c r="C36" s="118"/>
      <c r="D36" s="118"/>
      <c r="E36" s="118"/>
      <c r="F36" s="119"/>
      <c r="G36" s="63">
        <v>51664.303929250011</v>
      </c>
      <c r="H36" s="14" t="s">
        <v>3</v>
      </c>
      <c r="I36" s="1"/>
    </row>
    <row r="37" spans="1:9" x14ac:dyDescent="0.25">
      <c r="A37" s="1"/>
      <c r="B37" s="117" t="s">
        <v>131</v>
      </c>
      <c r="C37" s="118"/>
      <c r="D37" s="118"/>
      <c r="E37" s="118"/>
      <c r="F37" s="119"/>
      <c r="G37" s="23">
        <f>(G35+G36)*'Fane 15. Nøgletal'!C26</f>
        <v>212817.59606334061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216</v>
      </c>
      <c r="C41" s="118"/>
      <c r="D41" s="118"/>
      <c r="E41" s="118"/>
      <c r="F41" s="119"/>
      <c r="G41" s="23">
        <f>(G35+G36-G37)*(1+'Fane 15. Nøgletal'!C14)</f>
        <v>14213499.979541924</v>
      </c>
      <c r="H41" s="14" t="s">
        <v>3</v>
      </c>
      <c r="I41" s="1"/>
    </row>
    <row r="42" spans="1:9" x14ac:dyDescent="0.25">
      <c r="A42" s="1"/>
      <c r="B42" s="40" t="s">
        <v>156</v>
      </c>
      <c r="C42" s="79"/>
      <c r="D42" s="79"/>
      <c r="E42" s="79"/>
      <c r="F42" s="80"/>
      <c r="G42" s="23">
        <v>1809508.7560190402</v>
      </c>
      <c r="H42" s="14" t="s">
        <v>3</v>
      </c>
      <c r="I42" s="1"/>
    </row>
    <row r="43" spans="1:9" x14ac:dyDescent="0.25">
      <c r="A43" s="1"/>
      <c r="B43" s="117" t="s">
        <v>132</v>
      </c>
      <c r="C43" s="118"/>
      <c r="D43" s="118"/>
      <c r="E43" s="118"/>
      <c r="F43" s="119"/>
      <c r="G43" s="23">
        <f>(G41)*'Fane 15. Nøgletal'!C26+G42*'Fane 15. Nøgletal'!C27</f>
        <v>210359.79969722047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259</v>
      </c>
      <c r="C52" s="115"/>
      <c r="D52" s="115"/>
      <c r="E52" s="115"/>
      <c r="F52" s="115"/>
      <c r="G52" s="115"/>
      <c r="H52" s="116"/>
      <c r="I52" s="1"/>
    </row>
    <row r="53" spans="1:9" x14ac:dyDescent="0.25">
      <c r="A53" s="1"/>
      <c r="B53" s="117" t="s">
        <v>217</v>
      </c>
      <c r="C53" s="118"/>
      <c r="D53" s="118"/>
      <c r="E53" s="118"/>
      <c r="F53" s="119"/>
      <c r="G53" s="67">
        <f>(G41+G42-G43)*(1+'Fane 15. Nøgletal'!C16)</f>
        <v>17090310.969881535</v>
      </c>
      <c r="H53" s="14" t="s">
        <v>3</v>
      </c>
      <c r="I53" s="1"/>
    </row>
    <row r="54" spans="1:9" x14ac:dyDescent="0.25">
      <c r="A54" s="1"/>
      <c r="B54" s="78" t="s">
        <v>195</v>
      </c>
      <c r="C54" s="79"/>
      <c r="D54" s="79"/>
      <c r="E54" s="79"/>
      <c r="F54" s="80"/>
      <c r="G54" s="67">
        <f>('Fane 2.1. Økonomisk ramme 2024'!C11+'Fane 2.1. Økonomisk ramme 2024'!C13+'Fane 2.1. Økonomisk ramme 2024'!C15)*(1+'Fane 15. Nøgletal'!C16)</f>
        <v>160742.67776447997</v>
      </c>
      <c r="H54" s="14" t="s">
        <v>3</v>
      </c>
      <c r="I54" s="1"/>
    </row>
    <row r="55" spans="1:9" x14ac:dyDescent="0.25">
      <c r="A55" s="1"/>
      <c r="B55" s="117" t="s">
        <v>218</v>
      </c>
      <c r="C55" s="118"/>
      <c r="D55" s="118"/>
      <c r="E55" s="118"/>
      <c r="F55" s="119"/>
      <c r="G55" s="67">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258</v>
      </c>
      <c r="C58" s="115"/>
      <c r="D58" s="115"/>
      <c r="E58" s="115"/>
      <c r="F58" s="115"/>
      <c r="G58" s="115"/>
      <c r="H58" s="116"/>
      <c r="I58" s="1"/>
    </row>
    <row r="59" spans="1:9" x14ac:dyDescent="0.25">
      <c r="A59" s="1"/>
      <c r="B59" s="117" t="s">
        <v>219</v>
      </c>
      <c r="C59" s="118"/>
      <c r="D59" s="118"/>
      <c r="E59" s="118"/>
      <c r="F59" s="119"/>
      <c r="G59" s="67">
        <f>(G53+G54-G55)*(1+'Fane 15. Nøgletal'!C16)</f>
        <v>18644938.782375813</v>
      </c>
      <c r="H59" s="14" t="s">
        <v>3</v>
      </c>
      <c r="I59" s="1"/>
    </row>
    <row r="60" spans="1:9" x14ac:dyDescent="0.25">
      <c r="A60" s="1"/>
      <c r="B60" s="117" t="s">
        <v>220</v>
      </c>
      <c r="C60" s="118"/>
      <c r="D60" s="118"/>
      <c r="E60" s="118"/>
      <c r="F60" s="119"/>
      <c r="G60" s="67">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221</v>
      </c>
      <c r="C64" s="118"/>
      <c r="D64" s="118"/>
      <c r="E64" s="118"/>
      <c r="F64" s="119"/>
      <c r="G64" s="67">
        <f>(G59-G60)*(1+'Fane 15. Nøgletal'!C16)</f>
        <v>20151449.835991777</v>
      </c>
      <c r="H64" s="14" t="s">
        <v>3</v>
      </c>
      <c r="I64" s="1"/>
    </row>
    <row r="65" spans="1:9" x14ac:dyDescent="0.25">
      <c r="A65" s="1"/>
      <c r="B65" s="117" t="s">
        <v>222</v>
      </c>
      <c r="C65" s="118"/>
      <c r="D65" s="118"/>
      <c r="E65" s="118"/>
      <c r="F65" s="119"/>
      <c r="G65" s="67">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223</v>
      </c>
      <c r="C68" s="115"/>
      <c r="D68" s="115"/>
      <c r="E68" s="115"/>
      <c r="F68" s="115"/>
      <c r="G68" s="115"/>
      <c r="H68" s="116"/>
      <c r="I68" s="1"/>
    </row>
    <row r="69" spans="1:9" x14ac:dyDescent="0.25">
      <c r="A69" s="1"/>
      <c r="B69" s="117" t="s">
        <v>221</v>
      </c>
      <c r="C69" s="118"/>
      <c r="D69" s="118"/>
      <c r="E69" s="118"/>
      <c r="F69" s="119"/>
      <c r="G69" s="67">
        <f>(G64-G65)*(1+'Fane 15. Nøgletal'!C16)</f>
        <v>21779686.982739914</v>
      </c>
      <c r="H69" s="14" t="s">
        <v>3</v>
      </c>
      <c r="I69" s="1"/>
    </row>
    <row r="70" spans="1:9" x14ac:dyDescent="0.25">
      <c r="A70" s="1"/>
      <c r="B70" s="117" t="s">
        <v>222</v>
      </c>
      <c r="C70" s="118"/>
      <c r="D70" s="118"/>
      <c r="E70" s="118"/>
      <c r="F70" s="119"/>
      <c r="G70" s="67">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ORmcZgpe0sKb1lTVlJsHFyTf/Gho0qZV9YgtWXAyTMS7Qq8j28owKxIgCPmywhQ89b1sDwiZDIZoAeTQV62bHA==" saltValue="0sjTPRdYOABUdPqE/ZfcqQ=="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271</v>
      </c>
      <c r="C9" s="118"/>
      <c r="D9" s="118"/>
      <c r="E9" s="118"/>
      <c r="F9" s="119"/>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1k4VyHfgjFy5O2AdYP06bVukGJsXHO/XzfJUkOpBe3qCaaKK3JlHdsjZDzA865AQHxzu0zmWyj5oSfZl35vUKQ==" saltValue="qWuo13q6fGchSyqcxuGtW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2023-10-11T10:42:53Z</dcterms:modified>
</cp:coreProperties>
</file>