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Gørlev Vandforsyning A.m.b.a. (V003)\ØR2022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2" sheetId="2" r:id="rId2"/>
    <sheet name="Fane 2.2. Økonomisk ramme 2023" sheetId="3" r:id="rId3"/>
    <sheet name="Fane 2.3. Økonomisk ramme 2024" sheetId="4" r:id="rId4"/>
    <sheet name="Fane 2.4. Økonomisk ramme 2025" sheetId="5" r:id="rId5"/>
    <sheet name="Fane 3. Omkostninger i ØR2021" sheetId="6" r:id="rId6"/>
    <sheet name="Fane 4. Ikke-påvirkelige omk." sheetId="7" r:id="rId7"/>
    <sheet name="Fane 5. Kontrol af ØR2020" sheetId="8" r:id="rId8"/>
    <sheet name="Fane 6. Anlægsprojekter" sheetId="9" r:id="rId9"/>
    <sheet name="Fane 7.1. Varige tillæg" sheetId="10" r:id="rId10"/>
    <sheet name="Fane 7.2. Engangstillæg" sheetId="11" r:id="rId11"/>
    <sheet name="Fane 8. Tilknyttet virksomhed" sheetId="12" r:id="rId12"/>
    <sheet name="Fane 9. Bortfald" sheetId="13" r:id="rId13"/>
    <sheet name="Fane 10. Nøgletal" sheetId="14" r:id="rId14"/>
  </sheets>
  <definedNames>
    <definedName name="Z_61068CEC_D951_4EA8_B2F0_E3FAF0E2CE33_.wvu.Cols" localSheetId="1" hidden="1">'Fane 2.1. Økonomisk ramme 2022'!$C:$D</definedName>
    <definedName name="Z_61068CEC_D951_4EA8_B2F0_E3FAF0E2CE33_.wvu.Cols" localSheetId="2" hidden="1">'Fane 2.2. Økonomisk ramme 2023'!$C:$D</definedName>
    <definedName name="Z_61068CEC_D951_4EA8_B2F0_E3FAF0E2CE33_.wvu.Cols" localSheetId="3" hidden="1">'Fane 2.3. Økonomisk ramme 2024'!$C:$D</definedName>
    <definedName name="Z_61068CEC_D951_4EA8_B2F0_E3FAF0E2CE33_.wvu.Cols" localSheetId="4" hidden="1">'Fane 2.4. Økonomisk ramme 2025'!$C:$D</definedName>
  </definedNames>
  <calcPr calcId="162913"/>
  <customWorkbookViews>
    <customWorkbookView name="Anna Gammelby - Privat visning" guid="{61068CEC-D951-4EA8-B2F0-E3FAF0E2CE33}" mergeInterval="0" personalView="1" maximized="1" xWindow="-13" yWindow="-13" windowWidth="2586" windowHeight="1386" tabRatio="872" activeSheetId="2"/>
  </customWorkbookViews>
</workbook>
</file>

<file path=xl/calcChain.xml><?xml version="1.0" encoding="utf-8"?>
<calcChain xmlns="http://schemas.openxmlformats.org/spreadsheetml/2006/main">
  <c r="E33" i="8" l="1"/>
  <c r="E25" i="8" l="1"/>
  <c r="E29" i="8" s="1"/>
  <c r="E25" i="2" s="1"/>
  <c r="E35" i="8" l="1"/>
  <c r="E10" i="2"/>
  <c r="E14" i="6"/>
  <c r="E20" i="5" l="1"/>
  <c r="E20" i="4"/>
  <c r="E21" i="3"/>
  <c r="C11" i="12"/>
  <c r="C12" i="12" s="1"/>
  <c r="C13" i="7"/>
  <c r="C14" i="7" s="1"/>
  <c r="E15" i="6" l="1"/>
  <c r="E16" i="6" s="1"/>
  <c r="E26" i="6" s="1"/>
  <c r="E10" i="9" l="1"/>
  <c r="E29" i="13" l="1"/>
  <c r="E30" i="13" s="1"/>
  <c r="C29" i="13"/>
  <c r="C30" i="13" s="1"/>
  <c r="E23" i="13"/>
  <c r="E24" i="13" s="1"/>
  <c r="C23" i="13"/>
  <c r="C24" i="13" s="1"/>
  <c r="E17" i="13"/>
  <c r="E18" i="13" s="1"/>
  <c r="C17" i="13"/>
  <c r="C18" i="13" s="1"/>
  <c r="E9" i="5" l="1"/>
  <c r="E10" i="3"/>
  <c r="E9" i="4"/>
  <c r="E32" i="11"/>
  <c r="C32" i="11"/>
  <c r="E25" i="11"/>
  <c r="C25" i="11"/>
  <c r="E18" i="11"/>
  <c r="C18" i="11"/>
  <c r="E11" i="11"/>
  <c r="C11" i="11"/>
  <c r="E12" i="11" l="1"/>
  <c r="E13" i="11" s="1"/>
  <c r="C12" i="11"/>
  <c r="C13" i="11" s="1"/>
  <c r="E33" i="11"/>
  <c r="E34" i="11" s="1"/>
  <c r="E17" i="5" s="1"/>
  <c r="C33" i="11"/>
  <c r="C34" i="11" s="1"/>
  <c r="E16" i="5" s="1"/>
  <c r="E26" i="11"/>
  <c r="E27" i="11" s="1"/>
  <c r="E17" i="4" s="1"/>
  <c r="C26" i="11"/>
  <c r="C27" i="11" s="1"/>
  <c r="E16" i="4" s="1"/>
  <c r="E19" i="11"/>
  <c r="E20" i="11" s="1"/>
  <c r="E18" i="3" s="1"/>
  <c r="C19" i="11"/>
  <c r="C20" i="11" s="1"/>
  <c r="E17" i="3" s="1"/>
  <c r="E18" i="5" l="1"/>
  <c r="E21" i="2"/>
  <c r="E18" i="4"/>
  <c r="E20" i="2"/>
  <c r="E19" i="3" l="1"/>
  <c r="E22" i="2"/>
  <c r="E9" i="2" l="1"/>
  <c r="F11" i="9" l="1"/>
  <c r="C10" i="10" s="1"/>
  <c r="C11" i="10" s="1"/>
  <c r="C12" i="10" s="1"/>
  <c r="G11" i="9"/>
  <c r="E11" i="13" l="1"/>
  <c r="E12" i="13" s="1"/>
  <c r="C11" i="13"/>
  <c r="C12" i="13" s="1"/>
  <c r="E11" i="12"/>
  <c r="E12" i="12" s="1"/>
  <c r="E18" i="2" l="1"/>
  <c r="E14" i="5"/>
  <c r="E14" i="4"/>
  <c r="E15" i="3"/>
  <c r="E13" i="2" l="1"/>
  <c r="E12" i="2"/>
  <c r="E11" i="9" l="1"/>
  <c r="E10" i="10" s="1"/>
  <c r="E11" i="10" s="1"/>
  <c r="E12" i="10" l="1"/>
  <c r="E11" i="2" s="1"/>
  <c r="E14" i="2" l="1"/>
  <c r="E15" i="2" s="1"/>
  <c r="E16" i="2" s="1"/>
  <c r="E28" i="2" s="1"/>
  <c r="E9" i="3" l="1"/>
  <c r="E11" i="3" s="1"/>
  <c r="E12" i="3" s="1"/>
  <c r="E13" i="3" s="1"/>
  <c r="E22" i="3" s="1"/>
  <c r="E8" i="4" l="1"/>
  <c r="E10" i="4" l="1"/>
  <c r="E11" i="4" s="1"/>
  <c r="E12" i="4" s="1"/>
  <c r="E21" i="4" s="1"/>
  <c r="E8" i="5" l="1"/>
  <c r="E10" i="5" l="1"/>
  <c r="E11" i="5" l="1"/>
  <c r="E12" i="5" s="1"/>
  <c r="E21" i="5" s="1"/>
</calcChain>
</file>

<file path=xl/sharedStrings.xml><?xml version="1.0" encoding="utf-8"?>
<sst xmlns="http://schemas.openxmlformats.org/spreadsheetml/2006/main" count="403" uniqueCount="153">
  <si>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</si>
  <si>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</si>
  <si>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</si>
  <si>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</si>
  <si>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</si>
  <si>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</si>
  <si>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</si>
  <si>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4</t>
  </si>
  <si>
    <t>Fane 5</t>
  </si>
  <si>
    <t>Fane 9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</si>
  <si>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</si>
  <si>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</si>
  <si>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</si>
  <si>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</si>
  <si>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</si>
  <si>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</si>
  <si>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</si>
  <si>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</si>
  <si>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</si>
  <si>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</si>
  <si>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</si>
  <si>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</si>
  <si>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ØR2019</t>
  </si>
  <si>
    <t>Videreførte omkostninger fra den økonomiske ramme for 2020</t>
  </si>
  <si>
    <t>Videreførte omkostninger fra den økonomiske ramme for 2021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</si>
  <si>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</si>
  <si>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</si>
  <si>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</si>
  <si>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</si>
  <si>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</si>
  <si>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</si>
  <si>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Korrektion og kontrol med prisloft 2016</t>
  </si>
  <si>
    <t>Fane 2.3</t>
  </si>
  <si>
    <t>Fane 2.4</t>
  </si>
  <si>
    <t>Anlægsprojekter</t>
  </si>
  <si>
    <t>Bortfald</t>
  </si>
  <si>
    <t>Prisudvikling til brug for nye omkostninger i ØR2020</t>
  </si>
  <si>
    <t>Vejledende økonomisk ramme for 2023</t>
  </si>
  <si>
    <t>Nye varige tillæg</t>
  </si>
  <si>
    <t>Engangstillæg - Drift</t>
  </si>
  <si>
    <t>Engangstillæg - Anlæg</t>
  </si>
  <si>
    <t>Varige tillæg</t>
  </si>
  <si>
    <t>Engangstillæg</t>
  </si>
  <si>
    <t>Engangstillæg i alt</t>
  </si>
  <si>
    <t>Bortfald eller nedsættelse i alt i 2020-prisniveau</t>
  </si>
  <si>
    <t>Bortfald eller nedsættelse i alt i 2021-prisniveau</t>
  </si>
  <si>
    <t>Bortfald eller nedsættelse i alt i 2022-prisniveau</t>
  </si>
  <si>
    <t>Økonomisk ramme for 2023</t>
  </si>
  <si>
    <t>Bortfald eller nedsættelse fra og med de økonomiske rammer for 2022</t>
  </si>
  <si>
    <t>Bortfald eller nedsættelse fra og med de økonomiske rammer for 2023</t>
  </si>
  <si>
    <t>Fane 10</t>
  </si>
  <si>
    <t>Engangstillæg til de økonomiske rammer for 2022</t>
  </si>
  <si>
    <t>Engangstillæg til de økonomiske rammer for 2023</t>
  </si>
  <si>
    <t>Fane 4: Ikke-påvirkelige omkostninger</t>
  </si>
  <si>
    <t>Effektiviseringskrav</t>
  </si>
  <si>
    <t>Antal år i næste reguleringsperiode</t>
  </si>
  <si>
    <t>Fane 6</t>
  </si>
  <si>
    <t>Nøgletal</t>
  </si>
  <si>
    <t xml:space="preserve">Effektiviseringskrav </t>
  </si>
  <si>
    <t>Fane 3</t>
  </si>
  <si>
    <t>Nye tillæg</t>
  </si>
  <si>
    <t xml:space="preserve">Bortfald eller nedsættelse af omkostninger </t>
  </si>
  <si>
    <t>Bortfald eller nedsættelse af omkostninger</t>
  </si>
  <si>
    <t>Vejledende økonomisk ramme for 2024</t>
  </si>
  <si>
    <t>Tilknyttet virksomhed</t>
  </si>
  <si>
    <t>Tidligere tilknyttet virksomhed</t>
  </si>
  <si>
    <t>Videreførte omkostninger fra den økonomiske ramme for 2022</t>
  </si>
  <si>
    <t>Videreførte omkostninger fra den økonomiske ramme for 2023</t>
  </si>
  <si>
    <t>Økonomisk ramme for 2024</t>
  </si>
  <si>
    <t>Nye tillæg i alt i 2020-prisniveau</t>
  </si>
  <si>
    <t>Engangstillæg i alt i 2022-prisniveau</t>
  </si>
  <si>
    <t>Tilknyttet virksomhed under hovedvirksomheden</t>
  </si>
  <si>
    <t>Tilknyttet virksomhed under hovedvirksomheden i alt (2020-prisniveau)</t>
  </si>
  <si>
    <t>Bortfald eller nedsættelse fra og med de økonomiske rammer for 2024</t>
  </si>
  <si>
    <t>Prisudvikling til brug for nye omkostninger i ØR2021</t>
  </si>
  <si>
    <t>Engangstillæg i alt i 2023-prisniveau</t>
  </si>
  <si>
    <t>Engangstillæg i alt i 2024-prisniveau</t>
  </si>
  <si>
    <t>Engangstillæg til de økonomiske rammer for 2024</t>
  </si>
  <si>
    <t>Beskrivelse af tilknyttet virksomhed</t>
  </si>
  <si>
    <t>Anlægsprojekter igangsat senest den 1. marts 2016</t>
  </si>
  <si>
    <t>Anlægsprojekter igangsat senest den 1. marts 2016 i alt</t>
  </si>
  <si>
    <t>Anlægsprojekter igangsat senest 1. marts 2016</t>
  </si>
  <si>
    <t>Fane 7.1</t>
  </si>
  <si>
    <t>Fane 7.2</t>
  </si>
  <si>
    <t>Fane 8</t>
  </si>
  <si>
    <t>Kontrol med overholdelse af økonomiske rammer</t>
  </si>
  <si>
    <t>Kontrol med overholdelse af den økonomiske ramme</t>
  </si>
  <si>
    <t>Samlet økonomisk ramme for 2022</t>
  </si>
  <si>
    <t>Fane 6: Anlægsprojekter igangsat senest den 1. marts 2016</t>
  </si>
  <si>
    <t>Fane 7.1: Varige tillæg</t>
  </si>
  <si>
    <t>Fane 7.2: Engangstillæg</t>
  </si>
  <si>
    <t>Fane 8: Tilknyttet virksomhed under hovedvirksomheden</t>
  </si>
  <si>
    <t>Fane 9: Bortfald eller nedsættelse af omkostninger til mål, medfinansiering eller udvidelse</t>
  </si>
  <si>
    <t>Fane 10: Nøgletal</t>
  </si>
  <si>
    <t>Til økonomiske rammer for 2022</t>
  </si>
  <si>
    <t>Vejledende økonomisk ramme for 2025</t>
  </si>
  <si>
    <t>Omkostninger i ØR2021</t>
  </si>
  <si>
    <t>Kontrol af den økonomiske ramme for 2020</t>
  </si>
  <si>
    <t>Fane 2.1: Samlet økonomisk ramme for 2022</t>
  </si>
  <si>
    <t>Fane 2.2: Samlet økonomisk ramme for 2023</t>
  </si>
  <si>
    <t>Fane 2.3: Samlet økonomisk ramme for 2024</t>
  </si>
  <si>
    <t xml:space="preserve">Vejledende </t>
  </si>
  <si>
    <t>Fane 2.4: Samlet økonomisk ramme for 2025</t>
  </si>
  <si>
    <t>Videreførte omkostninger fra den økonomiske ramme for 2024</t>
  </si>
  <si>
    <t>Økonomisk ramme for 2025</t>
  </si>
  <si>
    <t>Fane 3: Videreførte omkostninger fra den økonomiske ramme for 2021</t>
  </si>
  <si>
    <t>Faktiske omkostninger i 2020</t>
  </si>
  <si>
    <t>Faktiske ikke-påvirkelige omkostninger i 2020</t>
  </si>
  <si>
    <t>Ikke-påvirkelige omkostninger i 2020-prisniveau</t>
  </si>
  <si>
    <t>Ikke-påvirkelige omkostninger i 2022-prisniveau</t>
  </si>
  <si>
    <t>Nye tillæg i alt i 2021-prisniveau</t>
  </si>
  <si>
    <t>Engangstillæg i alt i 2020-prisniveau</t>
  </si>
  <si>
    <t>Engangstillæg til de økonomiske rammer for 2025</t>
  </si>
  <si>
    <t>Engangstillæg i alt i 2025-prisniveau</t>
  </si>
  <si>
    <t>Tilknyttet virksomhed under hovedvirksomheden i alt (2021-prisniveau)</t>
  </si>
  <si>
    <t>Bortfald eller nedsættelse i alt i 2024-prisniveau</t>
  </si>
  <si>
    <t>Bortfald eller nedsættelse fra og med de økonomiske rammer for 2025</t>
  </si>
  <si>
    <t>Bortfald eller nedsættelse i alt i 2025-prisniveau</t>
  </si>
  <si>
    <t>Prisudvikling til brug for ØR2018-2021</t>
  </si>
  <si>
    <t>Prisudvikling til brug for nye omkostninger i ØR2022</t>
  </si>
  <si>
    <t xml:space="preserve">Note: Denne opgørelse er taget fra jeres afgørelse for den økonomiske ramme for 2021. I kan derfor ikke komme med høringssvar til denne opgørelse. </t>
  </si>
  <si>
    <t>- Heraf nye omkostninger i ØR21</t>
  </si>
  <si>
    <t>Kontrol med overholdelse af den økonomiske ramme for 2020</t>
  </si>
  <si>
    <t>Indtægtsramme i den økonomiske ramme for 2020</t>
  </si>
  <si>
    <t>Faktiske indtægter i 2020</t>
  </si>
  <si>
    <t>Difference (2020-prisniveau)</t>
  </si>
  <si>
    <t>Oversigt over den økonomiske ramme for 2021</t>
  </si>
  <si>
    <t>Prisudvikling til brug for ØR2017-2020</t>
  </si>
  <si>
    <t xml:space="preserve">Korrektion af grundlag </t>
  </si>
  <si>
    <t>Ingen tilknyttet virksomhed</t>
  </si>
  <si>
    <t>Afgift til ledningsført vand</t>
  </si>
  <si>
    <t>Afgift til Forsyningssekretariatet</t>
  </si>
  <si>
    <t>Ejendomsskat</t>
  </si>
  <si>
    <t>Ingen engangstillæg</t>
  </si>
  <si>
    <t>Ingen bortfald eller nedsættelse</t>
  </si>
  <si>
    <t>Tidligere opgjorte over/underdækninger</t>
  </si>
  <si>
    <t>Over/underdækning i 2017</t>
  </si>
  <si>
    <t>Over/underdækning i 2018</t>
  </si>
  <si>
    <t>Over/underdækning i 2019</t>
  </si>
  <si>
    <t>Note: Opgørelsen af overholdelse af de økonomiske rammer er taget fra jeres tidligere fremsendte økonomiske rammer og statusmeddelelser. I kan derfor ikke komme med høringssvar til denne opgørelse. Positive værdier er udtryk for at rammerne er overholdt(underdækning) og negative værdier er udtryk for at rammerne ikke er overholdt(overdækning).</t>
  </si>
  <si>
    <t>Allerede indregnet fradrag i jeres økonomiske rammer</t>
  </si>
  <si>
    <t>Indregnet fradrag i økonomisk ramme for 2021</t>
  </si>
  <si>
    <t>Indregnet fradrag i økonomisk ramme for 2022</t>
  </si>
  <si>
    <t xml:space="preserve">Note: Opgørelsen af over/underækningen er taget fra jeres tidligere fremsendte økonomiske rammer og statusmeddelelser. I kan derfor ikke komme med høringssvar til denne opgørelse. </t>
  </si>
  <si>
    <t>Korrektion af fradrag i den økonomiske ramme for 2022</t>
  </si>
  <si>
    <t>Tillæg/fradrag i den økonomiske ramme for 2022</t>
  </si>
  <si>
    <t>Til indregning i de økonomiske rammer for 2023-2026</t>
  </si>
  <si>
    <t>Kontrol med de økonomiske rammer til indregning</t>
  </si>
  <si>
    <t xml:space="preserve">Indtægter fra tilbagebetalt skat eller sambeskatningsbidrag som følge af skattesagen </t>
  </si>
  <si>
    <t xml:space="preserve">Nedsættelse af økonomisk ramme som følge af skattesagen </t>
  </si>
  <si>
    <t>Fradrag for kontrol af den økonomiske ramme</t>
  </si>
  <si>
    <t>Ingen anlægsprojekter</t>
  </si>
  <si>
    <t>Fane 5: Kontrol med overholdelse af den økonomiske ramme for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</si>
</sst>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color rgb="FF00000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108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7" borderId="1" xfId="0" applyNumberFormat="1" applyFont="1" applyFill="1" applyBorder="1" applyAlignment="1" applyProtection="1">
      <alignment wrapText="1"/>
    </xf>
    <xf numFmtId="3" fontId="8" fillId="7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7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0" fontId="8" fillId="4" borderId="2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7" borderId="1" xfId="0" applyNumberFormat="1" applyFont="1" applyFill="1" applyBorder="1" applyAlignment="1" applyProtection="1"/>
    <xf numFmtId="49" fontId="8" fillId="7" borderId="2" xfId="0" applyNumberFormat="1" applyFont="1" applyFill="1" applyBorder="1" applyAlignment="1" applyProtection="1"/>
    <xf numFmtId="10" fontId="8" fillId="7" borderId="1" xfId="3" applyNumberFormat="1" applyFont="1" applyFill="1" applyBorder="1" applyAlignment="1" applyProtection="1"/>
    <xf numFmtId="0" fontId="7" fillId="3" borderId="6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15" fillId="0" borderId="2" xfId="0" applyFont="1" applyFill="1" applyBorder="1" applyAlignment="1" applyProtection="1"/>
    <xf numFmtId="3" fontId="15" fillId="0" borderId="1" xfId="0" applyNumberFormat="1" applyFont="1" applyFill="1" applyBorder="1" applyProtection="1"/>
    <xf numFmtId="0" fontId="15" fillId="0" borderId="1" xfId="0" applyFont="1" applyFill="1" applyBorder="1" applyProtection="1"/>
    <xf numFmtId="0" fontId="8" fillId="7" borderId="2" xfId="0" applyFont="1" applyFill="1" applyBorder="1" applyAlignment="1" applyProtection="1"/>
    <xf numFmtId="0" fontId="8" fillId="7" borderId="1" xfId="0" quotePrefix="1" applyFont="1" applyFill="1" applyBorder="1" applyAlignment="1" applyProtection="1">
      <alignment horizontal="left" wrapText="1"/>
    </xf>
    <xf numFmtId="0" fontId="8" fillId="7" borderId="1" xfId="0" applyFont="1" applyFill="1" applyBorder="1" applyAlignment="1" applyProtection="1"/>
    <xf numFmtId="10" fontId="8" fillId="0" borderId="3" xfId="3" applyNumberFormat="1" applyFont="1" applyFill="1" applyBorder="1" applyAlignment="1" applyProtection="1"/>
    <xf numFmtId="0" fontId="15" fillId="7" borderId="1" xfId="0" applyFont="1" applyFill="1" applyBorder="1" applyAlignment="1" applyProtection="1"/>
    <xf numFmtId="49" fontId="8" fillId="7" borderId="1" xfId="0" applyNumberFormat="1" applyFont="1" applyFill="1" applyBorder="1" applyAlignment="1" applyProtection="1">
      <alignment wrapText="1"/>
    </xf>
    <xf numFmtId="3" fontId="8" fillId="4" borderId="2" xfId="0" applyNumberFormat="1" applyFont="1" applyFill="1" applyBorder="1" applyAlignment="1" applyProtection="1">
      <alignment horizontal="right"/>
    </xf>
    <xf numFmtId="49" fontId="8" fillId="7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  <xf numFmtId="0" fontId="16" fillId="7" borderId="1" xfId="0" applyFont="1" applyFill="1" applyBorder="1" applyAlignment="1" applyProtection="1"/>
    <xf numFmtId="0" fontId="2" fillId="2" borderId="0" xfId="0" applyFont="1" applyFill="1" applyAlignment="1" applyProtection="1">
      <alignment horizontal="center" vertical="center" wrapText="1"/>
    </xf>
    <xf numFmtId="0" fontId="8" fillId="7" borderId="1" xfId="0" applyFont="1" applyFill="1" applyBorder="1" applyAlignment="1" applyProtection="1">
      <alignment wrapText="1"/>
    </xf>
    <xf numFmtId="0" fontId="8" fillId="7" borderId="1" xfId="0" quotePrefix="1" applyFont="1" applyFill="1" applyBorder="1" applyAlignment="1" applyProtection="1">
      <alignment wrapText="1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7" borderId="2" xfId="0" applyFont="1" applyFill="1" applyBorder="1" applyAlignment="1" applyProtection="1">
      <alignment horizontal="left"/>
    </xf>
    <xf numFmtId="0" fontId="8" fillId="7" borderId="6" xfId="0" applyFont="1" applyFill="1" applyBorder="1" applyAlignment="1" applyProtection="1">
      <alignment horizontal="left"/>
    </xf>
    <xf numFmtId="0" fontId="8" fillId="7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  <xf numFmtId="0" fontId="1" fillId="3" borderId="4" xfId="1" applyFont="1" applyFill="1" applyBorder="1" applyAlignment="1" applyProtection="1">
      <alignment horizontal="center"/>
    </xf>
    <xf numFmtId="0" fontId="1" fillId="3" borderId="0" xfId="1" applyFont="1" applyFill="1" applyBorder="1" applyAlignment="1" applyProtection="1">
      <alignment horizontal="center"/>
    </xf>
    <xf numFmtId="0" fontId="1" fillId="3" borderId="5" xfId="1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" fillId="6" borderId="4" xfId="1" applyFont="1" applyFill="1" applyBorder="1" applyAlignment="1" applyProtection="1">
      <alignment horizontal="center"/>
    </xf>
    <xf numFmtId="0" fontId="1" fillId="6" borderId="0" xfId="1" applyFont="1" applyFill="1" applyBorder="1" applyAlignment="1" applyProtection="1">
      <alignment horizontal="center"/>
    </xf>
    <xf numFmtId="0" fontId="1" fillId="6" borderId="5" xfId="1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8" borderId="4" xfId="1" applyFont="1" applyFill="1" applyBorder="1" applyAlignment="1" applyProtection="1">
      <alignment horizontal="center"/>
    </xf>
    <xf numFmtId="0" fontId="1" fillId="8" borderId="0" xfId="1" applyFont="1" applyFill="1" applyBorder="1" applyAlignment="1" applyProtection="1">
      <alignment horizontal="center"/>
    </xf>
    <xf numFmtId="0" fontId="1" fillId="8" borderId="5" xfId="1" applyFont="1" applyFill="1" applyBorder="1" applyAlignment="1" applyProtection="1">
      <alignment horizontal="center"/>
    </xf>
    <xf numFmtId="0" fontId="12" fillId="5" borderId="4" xfId="1" applyFont="1" applyFill="1" applyBorder="1" applyAlignment="1" applyProtection="1">
      <alignment horizontal="center"/>
    </xf>
    <xf numFmtId="0" fontId="12" fillId="5" borderId="0" xfId="1" applyFont="1" applyFill="1" applyBorder="1" applyAlignment="1" applyProtection="1">
      <alignment horizontal="center"/>
    </xf>
    <xf numFmtId="0" fontId="12" fillId="5" borderId="5" xfId="1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8" fillId="7" borderId="1" xfId="0" applyFont="1" applyFill="1" applyBorder="1" applyAlignment="1" applyProtection="1">
      <alignment horizontal="left" wrapText="1"/>
    </xf>
    <xf numFmtId="0" fontId="8" fillId="7" borderId="1" xfId="0" quotePrefix="1" applyFont="1" applyFill="1" applyBorder="1" applyAlignment="1" applyProtection="1">
      <alignment wrapText="1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wrapText="1"/>
    </xf>
    <xf numFmtId="0" fontId="8" fillId="7" borderId="2" xfId="0" quotePrefix="1" applyFont="1" applyFill="1" applyBorder="1" applyAlignment="1" applyProtection="1">
      <alignment horizontal="left" wrapText="1"/>
    </xf>
    <xf numFmtId="0" fontId="8" fillId="7" borderId="6" xfId="0" quotePrefix="1" applyFont="1" applyFill="1" applyBorder="1" applyAlignment="1" applyProtection="1">
      <alignment horizontal="left" wrapText="1"/>
    </xf>
    <xf numFmtId="0" fontId="8" fillId="7" borderId="3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7" borderId="1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4" borderId="1" xfId="0" applyFont="1" applyFill="1" applyBorder="1" applyAlignment="1" applyProtection="1">
      <alignment horizontal="left"/>
    </xf>
    <xf numFmtId="0" fontId="8" fillId="7" borderId="2" xfId="0" quotePrefix="1" applyFont="1" applyFill="1" applyBorder="1" applyAlignment="1" applyProtection="1">
      <alignment horizontal="left"/>
    </xf>
    <xf numFmtId="0" fontId="8" fillId="7" borderId="6" xfId="0" quotePrefix="1" applyFont="1" applyFill="1" applyBorder="1" applyAlignment="1" applyProtection="1">
      <alignment horizontal="left"/>
    </xf>
    <xf numFmtId="0" fontId="8" fillId="7" borderId="3" xfId="0" quotePrefix="1" applyFont="1" applyFill="1" applyBorder="1" applyAlignment="1" applyProtection="1">
      <alignment horizontal="left"/>
    </xf>
    <xf numFmtId="0" fontId="8" fillId="7" borderId="2" xfId="0" applyFont="1" applyFill="1" applyBorder="1" applyAlignment="1" applyProtection="1">
      <alignment horizontal="left"/>
    </xf>
    <xf numFmtId="0" fontId="8" fillId="7" borderId="6" xfId="0" applyFont="1" applyFill="1" applyBorder="1" applyAlignment="1" applyProtection="1">
      <alignment horizontal="left"/>
    </xf>
    <xf numFmtId="0" fontId="8" fillId="7" borderId="3" xfId="0" applyFont="1" applyFill="1" applyBorder="1" applyAlignment="1" applyProtection="1">
      <alignment horizontal="left"/>
    </xf>
    <xf numFmtId="0" fontId="8" fillId="7" borderId="2" xfId="0" applyFont="1" applyFill="1" applyBorder="1" applyAlignment="1" applyProtection="1">
      <alignment horizontal="left" wrapText="1"/>
    </xf>
    <xf numFmtId="0" fontId="8" fillId="7" borderId="6" xfId="0" applyFont="1" applyFill="1" applyBorder="1" applyAlignment="1" applyProtection="1">
      <alignment horizontal="left" wrapText="1"/>
    </xf>
    <xf numFmtId="0" fontId="8" fillId="7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</cellXfs>
  <cellStyles count="4">
    <cellStyle name="Link" xfId="1" builtinId="8"/>
    <cellStyle name="Normal" xfId="0" builtinId="0"/>
    <cellStyle name="Normal 12" xfId="2"/>
    <cellStyle name="Procent" xfId="3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4.bin"/><Relationship Id="rId1" Type="http://schemas.openxmlformats.org/officeDocument/2006/relationships/printerSettings" Target="../printerSettings/printerSettings23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6.bin"/><Relationship Id="rId1" Type="http://schemas.openxmlformats.org/officeDocument/2006/relationships/printerSettings" Target="../printerSettings/printerSettings25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8.bin"/><Relationship Id="rId1" Type="http://schemas.openxmlformats.org/officeDocument/2006/relationships/printerSettings" Target="../printerSettings/printerSettings2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8.bin"/><Relationship Id="rId1" Type="http://schemas.openxmlformats.org/officeDocument/2006/relationships/printerSettings" Target="../printerSettings/printerSettings1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328125" defaultRowHeight="14.25" x14ac:dyDescent="0.45"/>
  <cols>
    <col min="1" max="1" width="9.1328125" style="2"/>
    <col min="2" max="2" width="5.86328125" style="2" customWidth="1"/>
    <col min="3" max="4" width="9.1328125" style="2"/>
    <col min="5" max="5" width="11.73046875" style="2" customWidth="1"/>
    <col min="6" max="6" width="11.59765625" style="2" customWidth="1"/>
    <col min="7" max="8" width="9.1328125" style="2"/>
    <col min="9" max="9" width="12.1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45">
      <c r="A4" s="1"/>
      <c r="B4" s="1"/>
      <c r="C4" s="1"/>
      <c r="D4" s="1"/>
      <c r="E4" s="1"/>
      <c r="F4" s="1"/>
      <c r="G4" s="1"/>
      <c r="H4" s="1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45">
      <c r="A6" s="1"/>
      <c r="B6" s="1"/>
      <c r="C6" s="3"/>
      <c r="D6" s="61" t="s">
        <v>4</v>
      </c>
      <c r="E6" s="61"/>
      <c r="F6" s="61"/>
      <c r="G6" s="61"/>
      <c r="H6" s="3"/>
      <c r="I6" s="1"/>
    </row>
    <row r="7" spans="1:9" ht="15" customHeight="1" x14ac:dyDescent="0.45">
      <c r="A7" s="1"/>
      <c r="B7" s="1"/>
      <c r="C7" s="3"/>
      <c r="D7" s="61"/>
      <c r="E7" s="61"/>
      <c r="F7" s="61"/>
      <c r="G7" s="61"/>
      <c r="H7" s="3"/>
      <c r="I7" s="1"/>
    </row>
    <row r="8" spans="1:9" ht="15.75" x14ac:dyDescent="0.5">
      <c r="A8" s="1"/>
      <c r="B8" s="1"/>
      <c r="C8" s="4"/>
      <c r="D8" s="66" t="s">
        <v>94</v>
      </c>
      <c r="E8" s="66"/>
      <c r="F8" s="66"/>
      <c r="G8" s="66"/>
      <c r="H8" s="4"/>
      <c r="I8" s="1"/>
    </row>
    <row r="9" spans="1:9" x14ac:dyDescent="0.45">
      <c r="A9" s="1"/>
      <c r="B9" s="1"/>
      <c r="C9" s="5"/>
      <c r="D9" s="5"/>
      <c r="E9" s="5"/>
      <c r="F9" s="5"/>
      <c r="G9" s="5"/>
      <c r="H9" s="5"/>
      <c r="I9" s="1"/>
    </row>
    <row r="10" spans="1:9" x14ac:dyDescent="0.4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45">
      <c r="A11" s="1"/>
      <c r="B11" s="5"/>
      <c r="C11" s="5"/>
      <c r="D11" s="65" t="s">
        <v>5</v>
      </c>
      <c r="E11" s="65"/>
      <c r="F11" s="65"/>
      <c r="G11" s="65"/>
      <c r="H11" s="5"/>
      <c r="I11" s="1"/>
    </row>
    <row r="12" spans="1:9" x14ac:dyDescent="0.4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45">
      <c r="A13" s="1"/>
      <c r="B13" s="1"/>
      <c r="C13" s="6" t="s">
        <v>6</v>
      </c>
      <c r="D13" s="58" t="s">
        <v>87</v>
      </c>
      <c r="E13" s="59"/>
      <c r="F13" s="59"/>
      <c r="G13" s="60"/>
      <c r="H13" s="1"/>
      <c r="I13" s="1"/>
    </row>
    <row r="14" spans="1:9" x14ac:dyDescent="0.45">
      <c r="A14" s="1"/>
      <c r="B14" s="1"/>
      <c r="C14" s="6" t="s">
        <v>15</v>
      </c>
      <c r="D14" s="58" t="s">
        <v>37</v>
      </c>
      <c r="E14" s="59"/>
      <c r="F14" s="59"/>
      <c r="G14" s="60"/>
      <c r="H14" s="1"/>
      <c r="I14" s="1"/>
    </row>
    <row r="15" spans="1:9" x14ac:dyDescent="0.45">
      <c r="A15" s="1"/>
      <c r="B15" s="1"/>
      <c r="C15" s="6" t="s">
        <v>32</v>
      </c>
      <c r="D15" s="58" t="s">
        <v>63</v>
      </c>
      <c r="E15" s="59"/>
      <c r="F15" s="59"/>
      <c r="G15" s="60"/>
      <c r="H15" s="1"/>
      <c r="I15" s="1"/>
    </row>
    <row r="16" spans="1:9" x14ac:dyDescent="0.45">
      <c r="A16" s="1"/>
      <c r="B16" s="1"/>
      <c r="C16" s="6" t="s">
        <v>33</v>
      </c>
      <c r="D16" s="58" t="s">
        <v>95</v>
      </c>
      <c r="E16" s="59"/>
      <c r="F16" s="59"/>
      <c r="G16" s="60"/>
      <c r="H16" s="1"/>
      <c r="I16" s="1"/>
    </row>
    <row r="17" spans="1:9" x14ac:dyDescent="0.45">
      <c r="A17" s="1"/>
      <c r="B17" s="1"/>
      <c r="C17" s="6" t="s">
        <v>59</v>
      </c>
      <c r="D17" s="58" t="s">
        <v>96</v>
      </c>
      <c r="E17" s="59"/>
      <c r="F17" s="59"/>
      <c r="G17" s="60"/>
      <c r="H17" s="1"/>
      <c r="I17" s="1"/>
    </row>
    <row r="18" spans="1:9" x14ac:dyDescent="0.45">
      <c r="A18" s="1"/>
      <c r="B18" s="1"/>
      <c r="C18" s="6" t="s">
        <v>7</v>
      </c>
      <c r="D18" s="70" t="s">
        <v>12</v>
      </c>
      <c r="E18" s="71"/>
      <c r="F18" s="71"/>
      <c r="G18" s="72"/>
      <c r="H18" s="1"/>
      <c r="I18" s="1"/>
    </row>
    <row r="19" spans="1:9" x14ac:dyDescent="0.45">
      <c r="A19" s="1"/>
      <c r="B19" s="1"/>
      <c r="C19" s="6" t="s">
        <v>8</v>
      </c>
      <c r="D19" s="62" t="s">
        <v>97</v>
      </c>
      <c r="E19" s="63"/>
      <c r="F19" s="63"/>
      <c r="G19" s="64"/>
      <c r="H19" s="1"/>
      <c r="I19" s="1"/>
    </row>
    <row r="20" spans="1:9" x14ac:dyDescent="0.45">
      <c r="A20" s="1"/>
      <c r="B20" s="1"/>
      <c r="C20" s="6" t="s">
        <v>56</v>
      </c>
      <c r="D20" s="62" t="s">
        <v>34</v>
      </c>
      <c r="E20" s="63"/>
      <c r="F20" s="63"/>
      <c r="G20" s="64"/>
      <c r="H20" s="1"/>
      <c r="I20" s="1"/>
    </row>
    <row r="21" spans="1:9" x14ac:dyDescent="0.45">
      <c r="A21" s="1"/>
      <c r="B21" s="1"/>
      <c r="C21" s="6" t="s">
        <v>82</v>
      </c>
      <c r="D21" s="62" t="s">
        <v>41</v>
      </c>
      <c r="E21" s="63"/>
      <c r="F21" s="63"/>
      <c r="G21" s="64"/>
      <c r="H21" s="1"/>
      <c r="I21" s="1"/>
    </row>
    <row r="22" spans="1:9" x14ac:dyDescent="0.45">
      <c r="A22" s="1"/>
      <c r="B22" s="1"/>
      <c r="C22" s="6" t="s">
        <v>83</v>
      </c>
      <c r="D22" s="62" t="s">
        <v>42</v>
      </c>
      <c r="E22" s="63"/>
      <c r="F22" s="63"/>
      <c r="G22" s="64"/>
      <c r="H22" s="1"/>
      <c r="I22" s="1"/>
    </row>
    <row r="23" spans="1:9" x14ac:dyDescent="0.45">
      <c r="A23" s="1"/>
      <c r="B23" s="1"/>
      <c r="C23" s="6" t="s">
        <v>84</v>
      </c>
      <c r="D23" s="62" t="s">
        <v>64</v>
      </c>
      <c r="E23" s="63"/>
      <c r="F23" s="63"/>
      <c r="G23" s="64"/>
      <c r="H23" s="1"/>
      <c r="I23" s="1"/>
    </row>
    <row r="24" spans="1:9" x14ac:dyDescent="0.45">
      <c r="A24" s="1"/>
      <c r="B24" s="1"/>
      <c r="C24" s="6" t="s">
        <v>9</v>
      </c>
      <c r="D24" s="62" t="s">
        <v>35</v>
      </c>
      <c r="E24" s="63"/>
      <c r="F24" s="63"/>
      <c r="G24" s="64"/>
      <c r="H24" s="1"/>
      <c r="I24" s="1"/>
    </row>
    <row r="25" spans="1:9" x14ac:dyDescent="0.45">
      <c r="A25" s="1"/>
      <c r="B25" s="1"/>
      <c r="C25" s="6" t="s">
        <v>50</v>
      </c>
      <c r="D25" s="67" t="s">
        <v>57</v>
      </c>
      <c r="E25" s="68"/>
      <c r="F25" s="68"/>
      <c r="G25" s="69"/>
      <c r="H25" s="1"/>
      <c r="I25" s="1"/>
    </row>
    <row r="26" spans="1:9" x14ac:dyDescent="0.4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4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4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4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4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+Ui5Y4cpbfbABhI/f5QEmndR9uLp/AISV8gZp0PmMMrMxoBEJcW8vPolVAzn5T5cI4A8D6XomRTSB2KT/k02hQ==" saltValue="b/Hyi9dGAu10CDuyuqf5cg==" spinCount="100000" sheet="1" objects="1" scenarios="1"/>
  <customSheetViews>
    <customSheetView guid="{61068CEC-D951-4EA8-B2F0-E3FAF0E2CE33}" showPageBreaks="1" showGridLines="0" view="pageLayout" topLeftCell="A7">
      <selection activeCell="E10" sqref="E10"/>
      <pageMargins left="0.71875" right="0.7" top="0.75" bottom="0.75" header="0.3" footer="0.3"/>
      <pageSetup paperSize="9" orientation="portrait" r:id="rId1"/>
    </customSheetView>
  </customSheetViews>
  <mergeCells count="16">
    <mergeCell ref="D24:G24"/>
    <mergeCell ref="D25:G25"/>
    <mergeCell ref="D18:G18"/>
    <mergeCell ref="D20:G20"/>
    <mergeCell ref="D21:G21"/>
    <mergeCell ref="D23:G23"/>
    <mergeCell ref="D22:G22"/>
    <mergeCell ref="D14:G14"/>
    <mergeCell ref="D6:G7"/>
    <mergeCell ref="D19:G19"/>
    <mergeCell ref="D11:G11"/>
    <mergeCell ref="D8:G8"/>
    <mergeCell ref="D15:G15"/>
    <mergeCell ref="D16:G16"/>
    <mergeCell ref="D13:G13"/>
    <mergeCell ref="D17:G17"/>
  </mergeCells>
  <hyperlinks>
    <hyperlink ref="D14:G14" location="'Fane 2.2. Økonomisk ramme 2023'!A1" display="Vejledende økonomisk ramme for 2022"/>
    <hyperlink ref="D21:G21" location="'Fane 7.1. Varige tillæg'!A1" display="Varige tillæg"/>
    <hyperlink ref="D23:G23" location="'Fane 8. Tilknyttet virksomhed'!A1" display="Tilknyttet virksomhed"/>
    <hyperlink ref="D24:G24" location="'Fane 9. Bortfald'!A1" display="Bortfald"/>
    <hyperlink ref="D13:G13" location="'Fane 2.1. Økonomisk ramme 2022'!A1" display="Samlet økonomisk ramme for 2021"/>
    <hyperlink ref="D16:G16" location="'Fane 2.4. Økonomisk ramme 2025'!A1" display="Vejledende økonomisk ramme for 2024"/>
    <hyperlink ref="D15:G15" location="'Fane 2.3. Økonomisk ramme 2024'!A1" display="Vejledende økonomisk ramme for 2023"/>
    <hyperlink ref="D18:G18" location="'Fane 4. Ikke-påvirkelige omk.'!A1" display="Ikke-påvirkelige omk."/>
    <hyperlink ref="D19:G19" location="'Fane 5. Kontrol af ØR2020'!A1" display="Kontrol af den økonomiske ramme for 2019"/>
    <hyperlink ref="D25:G25" location="'Fane 10. Nøgletal'!A1" display="Nøgletal"/>
    <hyperlink ref="D17:G17" location="'Fane 3. Omkostninger i ØR2021'!A1" display="Omkostninger i ØR2020"/>
    <hyperlink ref="D22:G22" location="'Fane 7.2. Engangstillæg'!A1" display="Engangstillæg"/>
    <hyperlink ref="D20:G20" location="'Fane 6. Anlægsprojekter'!A1" display="Anlægsprojekter"/>
  </hyperlinks>
  <pageMargins left="0.71875" right="0.7" top="0.75" bottom="0.75" header="0.3" footer="0.3"/>
  <pageSetup paperSize="9" orientation="portrait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G48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4.3984375" style="2" customWidth="1"/>
    <col min="3" max="3" width="16.265625" style="2" customWidth="1"/>
    <col min="4" max="4" width="3.265625" style="2" customWidth="1"/>
    <col min="5" max="5" width="19.13281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3" t="s">
        <v>89</v>
      </c>
      <c r="C3" s="73"/>
      <c r="D3" s="73"/>
      <c r="E3" s="73"/>
      <c r="F3" s="73"/>
      <c r="G3" s="1"/>
    </row>
    <row r="4" spans="1:7" ht="15" customHeight="1" x14ac:dyDescent="0.45">
      <c r="A4" s="1"/>
      <c r="B4" s="73"/>
      <c r="C4" s="73"/>
      <c r="D4" s="73"/>
      <c r="E4" s="73"/>
      <c r="F4" s="73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56" t="s">
        <v>38</v>
      </c>
      <c r="C8" s="22"/>
      <c r="D8" s="22"/>
      <c r="E8" s="22"/>
      <c r="F8" s="57"/>
      <c r="G8" s="1"/>
    </row>
    <row r="9" spans="1:7" ht="17.25" customHeight="1" x14ac:dyDescent="0.45">
      <c r="A9" s="1"/>
      <c r="B9" s="23" t="s">
        <v>16</v>
      </c>
      <c r="C9" s="23" t="s">
        <v>11</v>
      </c>
      <c r="D9" s="24"/>
      <c r="E9" s="23" t="s">
        <v>28</v>
      </c>
      <c r="F9" s="55"/>
      <c r="G9" s="1"/>
    </row>
    <row r="10" spans="1:7" x14ac:dyDescent="0.45">
      <c r="A10" s="1"/>
      <c r="B10" s="20" t="s">
        <v>81</v>
      </c>
      <c r="C10" s="19">
        <f>'Fane 6. Anlægsprojekter'!F11</f>
        <v>0</v>
      </c>
      <c r="D10" s="12" t="s">
        <v>3</v>
      </c>
      <c r="E10" s="8">
        <f>SUM('Fane 6. Anlægsprojekter'!E11,'Fane 6. Anlægsprojekter'!G11)</f>
        <v>0</v>
      </c>
      <c r="F10" s="12" t="s">
        <v>3</v>
      </c>
      <c r="G10" s="1"/>
    </row>
    <row r="11" spans="1:7" x14ac:dyDescent="0.45">
      <c r="A11" s="1"/>
      <c r="B11" s="56" t="s">
        <v>69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45">
      <c r="A12" s="1"/>
      <c r="B12" s="56" t="s">
        <v>110</v>
      </c>
      <c r="C12" s="10">
        <f>C11*(1+'Fane 10. Nøgletal'!C14)</f>
        <v>0</v>
      </c>
      <c r="D12" s="11" t="s">
        <v>3</v>
      </c>
      <c r="E12" s="10">
        <f>E11*(1+'Fane 10. Nøgletal'!C14)</f>
        <v>0</v>
      </c>
      <c r="F12" s="11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1"/>
      <c r="C16" s="1"/>
      <c r="D16" s="1"/>
      <c r="E16" s="1"/>
      <c r="F16" s="1"/>
      <c r="G16" s="1"/>
    </row>
    <row r="17" spans="1:7" x14ac:dyDescent="0.45">
      <c r="A17" s="1"/>
      <c r="B17" s="1"/>
      <c r="C17" s="1"/>
      <c r="D17" s="1"/>
      <c r="E17" s="1"/>
      <c r="F17" s="1"/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</sheetData>
  <sheetProtection algorithmName="SHA-512" hashValue="UB2SbHVKB/aU50qhlvQUgQwTOCCGiC/6Ql7pGYaXGTeK0qdtRiDnr+sEbP2kSo+GHKFWJ00PM0IaweXZA/Np/w==" saltValue="L95iwThE6F1L1r9zbyGVGg==" spinCount="100000" sheet="1" objects="1" scenarios="1"/>
  <customSheetViews>
    <customSheetView guid="{61068CEC-D951-4EA8-B2F0-E3FAF0E2CE33}" showPageBreaks="1" showGridLines="0" view="pageLayout">
      <selection activeCell="I17" sqref="I17"/>
      <pageMargins left="0.7" right="0.7" top="0.75" bottom="0.75" header="0.3" footer="0.3"/>
      <pageSetup paperSize="9" orientation="portrait" r:id="rId1"/>
    </customSheetView>
  </customSheetViews>
  <mergeCells count="1">
    <mergeCell ref="B3:F4"/>
  </mergeCells>
  <pageMargins left="0.7" right="0.7" top="0.75" bottom="0.75" header="0.3" footer="0.3"/>
  <pageSetup paperSize="9" orientation="portrait"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G42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4.3984375" style="2" customWidth="1"/>
    <col min="3" max="3" width="16.265625" style="2" customWidth="1"/>
    <col min="4" max="4" width="3.265625" style="2" customWidth="1"/>
    <col min="5" max="5" width="19.13281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3" t="s">
        <v>90</v>
      </c>
      <c r="C3" s="73"/>
      <c r="D3" s="73"/>
      <c r="E3" s="73"/>
      <c r="F3" s="73"/>
      <c r="G3" s="1"/>
    </row>
    <row r="4" spans="1:7" ht="15" customHeight="1" x14ac:dyDescent="0.45">
      <c r="A4" s="1"/>
      <c r="B4" s="73"/>
      <c r="C4" s="73"/>
      <c r="D4" s="73"/>
      <c r="E4" s="73"/>
      <c r="F4" s="73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88" t="s">
        <v>51</v>
      </c>
      <c r="C8" s="89"/>
      <c r="D8" s="89"/>
      <c r="E8" s="89"/>
      <c r="F8" s="90"/>
      <c r="G8" s="1"/>
    </row>
    <row r="9" spans="1:7" x14ac:dyDescent="0.45">
      <c r="A9" s="1"/>
      <c r="B9" s="23" t="s">
        <v>16</v>
      </c>
      <c r="C9" s="23" t="s">
        <v>11</v>
      </c>
      <c r="D9" s="24"/>
      <c r="E9" s="23" t="s">
        <v>28</v>
      </c>
      <c r="F9" s="55"/>
      <c r="G9" s="1"/>
    </row>
    <row r="10" spans="1:7" x14ac:dyDescent="0.45">
      <c r="A10" s="1"/>
      <c r="B10" s="20" t="s">
        <v>133</v>
      </c>
      <c r="C10" s="19">
        <v>0</v>
      </c>
      <c r="D10" s="12" t="s">
        <v>3</v>
      </c>
      <c r="E10" s="19">
        <v>0</v>
      </c>
      <c r="F10" s="12" t="s">
        <v>3</v>
      </c>
      <c r="G10" s="1"/>
    </row>
    <row r="11" spans="1:7" x14ac:dyDescent="0.45">
      <c r="A11" s="1"/>
      <c r="B11" s="56" t="s">
        <v>111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45">
      <c r="A12" s="1"/>
      <c r="B12" s="25" t="s">
        <v>54</v>
      </c>
      <c r="C12" s="26">
        <f>-C11*'Fane 10. Nøgletal'!C19</f>
        <v>0</v>
      </c>
      <c r="D12" s="27" t="s">
        <v>3</v>
      </c>
      <c r="E12" s="26">
        <f>-E11*'Fane 10. Nøgletal'!C19</f>
        <v>0</v>
      </c>
      <c r="F12" s="27" t="s">
        <v>3</v>
      </c>
      <c r="G12" s="1"/>
    </row>
    <row r="13" spans="1:7" x14ac:dyDescent="0.45">
      <c r="A13" s="1"/>
      <c r="B13" s="56" t="s">
        <v>70</v>
      </c>
      <c r="C13" s="10">
        <f>SUM(C11:C12)*(1+'Fane 10. Nøgletal'!C14)^2</f>
        <v>0</v>
      </c>
      <c r="D13" s="11" t="s">
        <v>3</v>
      </c>
      <c r="E13" s="10">
        <f>SUM(E11:E12)*(1+'Fane 10. Nøgletal'!C14)^2</f>
        <v>0</v>
      </c>
      <c r="F13" s="11" t="s">
        <v>3</v>
      </c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88" t="s">
        <v>52</v>
      </c>
      <c r="C15" s="89"/>
      <c r="D15" s="89"/>
      <c r="E15" s="89"/>
      <c r="F15" s="90"/>
      <c r="G15" s="1"/>
    </row>
    <row r="16" spans="1:7" x14ac:dyDescent="0.45">
      <c r="A16" s="1"/>
      <c r="B16" s="23" t="s">
        <v>16</v>
      </c>
      <c r="C16" s="23" t="s">
        <v>11</v>
      </c>
      <c r="D16" s="24"/>
      <c r="E16" s="23" t="s">
        <v>28</v>
      </c>
      <c r="F16" s="55"/>
      <c r="G16" s="1"/>
    </row>
    <row r="17" spans="1:7" x14ac:dyDescent="0.45">
      <c r="A17" s="1"/>
      <c r="B17" s="20" t="s">
        <v>133</v>
      </c>
      <c r="C17" s="19">
        <v>0</v>
      </c>
      <c r="D17" s="12" t="s">
        <v>3</v>
      </c>
      <c r="E17" s="19">
        <v>0</v>
      </c>
      <c r="F17" s="12" t="s">
        <v>3</v>
      </c>
      <c r="G17" s="1"/>
    </row>
    <row r="18" spans="1:7" x14ac:dyDescent="0.45">
      <c r="A18" s="1"/>
      <c r="B18" s="56" t="s">
        <v>111</v>
      </c>
      <c r="C18" s="10">
        <f>SUM(C17:C17)</f>
        <v>0</v>
      </c>
      <c r="D18" s="11" t="s">
        <v>3</v>
      </c>
      <c r="E18" s="10">
        <f>SUM(E17:E17)</f>
        <v>0</v>
      </c>
      <c r="F18" s="11" t="s">
        <v>3</v>
      </c>
      <c r="G18" s="1"/>
    </row>
    <row r="19" spans="1:7" x14ac:dyDescent="0.45">
      <c r="A19" s="1"/>
      <c r="B19" s="25" t="s">
        <v>54</v>
      </c>
      <c r="C19" s="26">
        <f>-C18*'Fane 10. Nøgletal'!C19</f>
        <v>0</v>
      </c>
      <c r="D19" s="27" t="s">
        <v>3</v>
      </c>
      <c r="E19" s="26">
        <f>-E18*'Fane 10. Nøgletal'!C19</f>
        <v>0</v>
      </c>
      <c r="F19" s="27" t="s">
        <v>3</v>
      </c>
      <c r="G19" s="1"/>
    </row>
    <row r="20" spans="1:7" x14ac:dyDescent="0.45">
      <c r="A20" s="1"/>
      <c r="B20" s="56" t="s">
        <v>75</v>
      </c>
      <c r="C20" s="10">
        <f>SUM(C18:C19)*(1+'Fane 10. Nøgletal'!C14)^3</f>
        <v>0</v>
      </c>
      <c r="D20" s="11" t="s">
        <v>3</v>
      </c>
      <c r="E20" s="10">
        <f>SUM(E18:E19)*(1+'Fane 10. Nøgletal'!C14)^3</f>
        <v>0</v>
      </c>
      <c r="F20" s="11" t="s">
        <v>3</v>
      </c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88" t="s">
        <v>77</v>
      </c>
      <c r="C22" s="89"/>
      <c r="D22" s="89"/>
      <c r="E22" s="89"/>
      <c r="F22" s="90"/>
      <c r="G22" s="1"/>
    </row>
    <row r="23" spans="1:7" x14ac:dyDescent="0.45">
      <c r="A23" s="1"/>
      <c r="B23" s="23" t="s">
        <v>16</v>
      </c>
      <c r="C23" s="23" t="s">
        <v>11</v>
      </c>
      <c r="D23" s="24"/>
      <c r="E23" s="23" t="s">
        <v>28</v>
      </c>
      <c r="F23" s="55"/>
      <c r="G23" s="1"/>
    </row>
    <row r="24" spans="1:7" x14ac:dyDescent="0.45">
      <c r="A24" s="1"/>
      <c r="B24" s="20" t="s">
        <v>133</v>
      </c>
      <c r="C24" s="19">
        <v>0</v>
      </c>
      <c r="D24" s="12" t="s">
        <v>3</v>
      </c>
      <c r="E24" s="19">
        <v>0</v>
      </c>
      <c r="F24" s="12" t="s">
        <v>3</v>
      </c>
      <c r="G24" s="1"/>
    </row>
    <row r="25" spans="1:7" x14ac:dyDescent="0.45">
      <c r="A25" s="1"/>
      <c r="B25" s="56" t="s">
        <v>111</v>
      </c>
      <c r="C25" s="10">
        <f>SUM(C24:C24)</f>
        <v>0</v>
      </c>
      <c r="D25" s="11" t="s">
        <v>3</v>
      </c>
      <c r="E25" s="10">
        <f>SUM(E24:E24)</f>
        <v>0</v>
      </c>
      <c r="F25" s="11" t="s">
        <v>3</v>
      </c>
      <c r="G25" s="1"/>
    </row>
    <row r="26" spans="1:7" x14ac:dyDescent="0.45">
      <c r="A26" s="1"/>
      <c r="B26" s="25" t="s">
        <v>54</v>
      </c>
      <c r="C26" s="26">
        <f>-C25*'Fane 10. Nøgletal'!C19</f>
        <v>0</v>
      </c>
      <c r="D26" s="27" t="s">
        <v>3</v>
      </c>
      <c r="E26" s="26">
        <f>-E25*'Fane 10. Nøgletal'!C19</f>
        <v>0</v>
      </c>
      <c r="F26" s="27" t="s">
        <v>3</v>
      </c>
      <c r="G26" s="1"/>
    </row>
    <row r="27" spans="1:7" x14ac:dyDescent="0.45">
      <c r="A27" s="1"/>
      <c r="B27" s="56" t="s">
        <v>76</v>
      </c>
      <c r="C27" s="10">
        <f>SUM(C25:C26)*(1+'Fane 10. Nøgletal'!C14)^4</f>
        <v>0</v>
      </c>
      <c r="D27" s="11" t="s">
        <v>3</v>
      </c>
      <c r="E27" s="10">
        <f>SUM(E25:E26)*(1+'Fane 10. Nøgletal'!C14)^4</f>
        <v>0</v>
      </c>
      <c r="F27" s="11" t="s">
        <v>3</v>
      </c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88" t="s">
        <v>112</v>
      </c>
      <c r="C29" s="89"/>
      <c r="D29" s="89"/>
      <c r="E29" s="89"/>
      <c r="F29" s="90"/>
      <c r="G29" s="1"/>
    </row>
    <row r="30" spans="1:7" x14ac:dyDescent="0.45">
      <c r="A30" s="1"/>
      <c r="B30" s="23" t="s">
        <v>16</v>
      </c>
      <c r="C30" s="23" t="s">
        <v>11</v>
      </c>
      <c r="D30" s="24"/>
      <c r="E30" s="23" t="s">
        <v>28</v>
      </c>
      <c r="F30" s="55"/>
      <c r="G30" s="1"/>
    </row>
    <row r="31" spans="1:7" x14ac:dyDescent="0.45">
      <c r="A31" s="1"/>
      <c r="B31" s="20" t="s">
        <v>133</v>
      </c>
      <c r="C31" s="19">
        <v>0</v>
      </c>
      <c r="D31" s="12" t="s">
        <v>3</v>
      </c>
      <c r="E31" s="19">
        <v>0</v>
      </c>
      <c r="F31" s="12" t="s">
        <v>3</v>
      </c>
      <c r="G31" s="1"/>
    </row>
    <row r="32" spans="1:7" x14ac:dyDescent="0.45">
      <c r="A32" s="1"/>
      <c r="B32" s="56" t="s">
        <v>111</v>
      </c>
      <c r="C32" s="10">
        <f>SUM(C31:C31)</f>
        <v>0</v>
      </c>
      <c r="D32" s="11" t="s">
        <v>3</v>
      </c>
      <c r="E32" s="10">
        <f>SUM(E31:E31)</f>
        <v>0</v>
      </c>
      <c r="F32" s="11" t="s">
        <v>3</v>
      </c>
      <c r="G32" s="1"/>
    </row>
    <row r="33" spans="1:7" x14ac:dyDescent="0.45">
      <c r="A33" s="1"/>
      <c r="B33" s="25" t="s">
        <v>54</v>
      </c>
      <c r="C33" s="26">
        <f>-C32*'Fane 10. Nøgletal'!C19</f>
        <v>0</v>
      </c>
      <c r="D33" s="27" t="s">
        <v>3</v>
      </c>
      <c r="E33" s="26">
        <f>-E32*'Fane 10. Nøgletal'!C19</f>
        <v>0</v>
      </c>
      <c r="F33" s="27" t="s">
        <v>3</v>
      </c>
      <c r="G33" s="1"/>
    </row>
    <row r="34" spans="1:7" x14ac:dyDescent="0.45">
      <c r="A34" s="1"/>
      <c r="B34" s="56" t="s">
        <v>113</v>
      </c>
      <c r="C34" s="10">
        <f>SUM(C32:C33)*(1+'Fane 10. Nøgletal'!C14)^5</f>
        <v>0</v>
      </c>
      <c r="D34" s="11" t="s">
        <v>3</v>
      </c>
      <c r="E34" s="10">
        <f>SUM(E32:E33)*(1+'Fane 10. Nøgletal'!C14)^5</f>
        <v>0</v>
      </c>
      <c r="F34" s="11" t="s">
        <v>3</v>
      </c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</sheetData>
  <sheetProtection algorithmName="SHA-512" hashValue="pbU0gRtPW/qldJZRMbl30GOdG0txbkR11afCzy/nSLYObM6DVF1pE9xqPlR2ylgOZGxMarhE4n8sKYVsIS5sXQ==" saltValue="IEmfzCmK5xqzAx8rhb1Ihw==" spinCount="100000" sheet="1" objects="1" scenarios="1"/>
  <customSheetViews>
    <customSheetView guid="{61068CEC-D951-4EA8-B2F0-E3FAF0E2CE33}" showPageBreaks="1" showGridLines="0" view="pageLayout" topLeftCell="A4">
      <pageMargins left="0.7" right="0.7" top="0.75" bottom="0.75" header="0.3" footer="0.3"/>
      <pageSetup paperSize="9" orientation="portrait" r:id="rId1"/>
    </customSheetView>
  </customSheetViews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45"/>
  <sheetViews>
    <sheetView showGridLines="0" view="pageLayout" zoomScaleNormal="100" workbookViewId="0"/>
  </sheetViews>
  <sheetFormatPr defaultColWidth="9.1328125" defaultRowHeight="14.25" x14ac:dyDescent="0.45"/>
  <cols>
    <col min="1" max="1" width="5.3984375" style="2" customWidth="1"/>
    <col min="2" max="2" width="41.1328125" style="2" bestFit="1" customWidth="1"/>
    <col min="3" max="3" width="13.3984375" style="2" customWidth="1"/>
    <col min="4" max="4" width="3.265625" style="2" customWidth="1"/>
    <col min="5" max="5" width="14.3984375" style="2" customWidth="1"/>
    <col min="6" max="6" width="3.265625" style="2" customWidth="1"/>
    <col min="7" max="7" width="5.86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86" t="s">
        <v>91</v>
      </c>
      <c r="C3" s="86"/>
      <c r="D3" s="86"/>
      <c r="E3" s="86"/>
      <c r="F3" s="86"/>
      <c r="G3" s="1"/>
    </row>
    <row r="4" spans="1:7" ht="25.5" customHeight="1" x14ac:dyDescent="0.45">
      <c r="A4" s="1"/>
      <c r="B4" s="86"/>
      <c r="C4" s="86"/>
      <c r="D4" s="86"/>
      <c r="E4" s="86"/>
      <c r="F4" s="86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88" t="s">
        <v>71</v>
      </c>
      <c r="C8" s="89"/>
      <c r="D8" s="89"/>
      <c r="E8" s="89"/>
      <c r="F8" s="90"/>
      <c r="G8" s="1"/>
    </row>
    <row r="9" spans="1:7" ht="15" customHeight="1" x14ac:dyDescent="0.45">
      <c r="A9" s="1"/>
      <c r="B9" s="54" t="s">
        <v>78</v>
      </c>
      <c r="C9" s="104" t="s">
        <v>11</v>
      </c>
      <c r="D9" s="105"/>
      <c r="E9" s="104" t="s">
        <v>28</v>
      </c>
      <c r="F9" s="105"/>
      <c r="G9" s="1"/>
    </row>
    <row r="10" spans="1:7" x14ac:dyDescent="0.45">
      <c r="A10" s="1"/>
      <c r="B10" s="20" t="s">
        <v>129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ht="28.5" customHeight="1" x14ac:dyDescent="0.45">
      <c r="A11" s="1"/>
      <c r="B11" s="18" t="s">
        <v>72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ht="27" customHeight="1" x14ac:dyDescent="0.45">
      <c r="A12" s="1"/>
      <c r="B12" s="18" t="s">
        <v>114</v>
      </c>
      <c r="C12" s="10">
        <f>C11*(1+'Fane 10. Nøgletal'!C14)</f>
        <v>0</v>
      </c>
      <c r="D12" s="11" t="s">
        <v>3</v>
      </c>
      <c r="E12" s="10">
        <f>E11*(1+'Fane 10. Nøgletal'!C14)</f>
        <v>0</v>
      </c>
      <c r="F12" s="11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1"/>
      <c r="C16" s="1"/>
      <c r="D16" s="1"/>
      <c r="E16" s="1"/>
      <c r="F16" s="1"/>
      <c r="G16" s="1"/>
    </row>
    <row r="17" spans="1:7" x14ac:dyDescent="0.45">
      <c r="A17" s="1"/>
      <c r="B17" s="1"/>
      <c r="C17" s="1"/>
      <c r="D17" s="1"/>
      <c r="E17" s="1"/>
      <c r="F17" s="1"/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</sheetData>
  <sheetProtection algorithmName="SHA-512" hashValue="Bf4ZLpbkI5bPFXEnx1KgdGd38YHwWEIHhztDXSWjPugTVbnrVf2dzySugKsoX6aGYaeI8ZZq0ru6NfZwgYvwCg==" saltValue="MQe7oYwzjxjPbUQ81C4neA==" spinCount="100000" sheet="1" objects="1" scenarios="1"/>
  <customSheetViews>
    <customSheetView guid="{61068CEC-D951-4EA8-B2F0-E3FAF0E2CE33}" showPageBreaks="1" showGridLines="0" view="pageLayout">
      <selection activeCell="B3" sqref="B3:F4"/>
      <pageMargins left="0.7" right="0.7" top="0.75" bottom="0.75" header="0.3" footer="0.3"/>
      <pageSetup paperSize="9" orientation="portrait" r:id="rId1"/>
    </customSheetView>
  </customSheetViews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6.3984375" style="2" customWidth="1"/>
    <col min="3" max="3" width="15.73046875" style="2" customWidth="1"/>
    <col min="4" max="4" width="3.265625" style="2" customWidth="1"/>
    <col min="5" max="5" width="18.398437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86" t="s">
        <v>92</v>
      </c>
      <c r="C3" s="86"/>
      <c r="D3" s="86"/>
      <c r="E3" s="86"/>
      <c r="F3" s="86"/>
      <c r="G3" s="1"/>
    </row>
    <row r="4" spans="1:7" ht="25.5" customHeight="1" x14ac:dyDescent="0.45">
      <c r="A4" s="1"/>
      <c r="B4" s="86"/>
      <c r="C4" s="86"/>
      <c r="D4" s="86"/>
      <c r="E4" s="86"/>
      <c r="F4" s="86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88" t="s">
        <v>48</v>
      </c>
      <c r="C8" s="89"/>
      <c r="D8" s="89"/>
      <c r="E8" s="89"/>
      <c r="F8" s="90"/>
      <c r="G8" s="1"/>
    </row>
    <row r="9" spans="1:7" ht="15" customHeight="1" x14ac:dyDescent="0.45">
      <c r="A9" s="1"/>
      <c r="B9" s="54" t="s">
        <v>17</v>
      </c>
      <c r="C9" s="54" t="s">
        <v>11</v>
      </c>
      <c r="D9" s="55"/>
      <c r="E9" s="54" t="s">
        <v>28</v>
      </c>
      <c r="F9" s="55"/>
      <c r="G9" s="1"/>
    </row>
    <row r="10" spans="1:7" x14ac:dyDescent="0.45">
      <c r="A10" s="1"/>
      <c r="B10" s="20" t="s">
        <v>134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45">
      <c r="A11" s="1"/>
      <c r="B11" s="56" t="s">
        <v>44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45">
      <c r="A12" s="1"/>
      <c r="B12" s="56" t="s">
        <v>45</v>
      </c>
      <c r="C12" s="10">
        <f>C11*(1+'Fane 10. Nøgletal'!C14)</f>
        <v>0</v>
      </c>
      <c r="D12" s="11" t="s">
        <v>3</v>
      </c>
      <c r="E12" s="10">
        <f>E11*(1+'Fane 10. Nøgletal'!C14)</f>
        <v>0</v>
      </c>
      <c r="F12" s="11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88" t="s">
        <v>49</v>
      </c>
      <c r="C14" s="89"/>
      <c r="D14" s="89"/>
      <c r="E14" s="89"/>
      <c r="F14" s="90"/>
      <c r="G14" s="1"/>
    </row>
    <row r="15" spans="1:7" x14ac:dyDescent="0.45">
      <c r="A15" s="1"/>
      <c r="B15" s="54" t="s">
        <v>17</v>
      </c>
      <c r="C15" s="54" t="s">
        <v>11</v>
      </c>
      <c r="D15" s="55"/>
      <c r="E15" s="54" t="s">
        <v>28</v>
      </c>
      <c r="F15" s="55"/>
      <c r="G15" s="1"/>
    </row>
    <row r="16" spans="1:7" x14ac:dyDescent="0.45">
      <c r="A16" s="1"/>
      <c r="B16" s="20" t="s">
        <v>134</v>
      </c>
      <c r="C16" s="8">
        <v>0</v>
      </c>
      <c r="D16" s="12" t="s">
        <v>3</v>
      </c>
      <c r="E16" s="8">
        <v>0</v>
      </c>
      <c r="F16" s="12" t="s">
        <v>3</v>
      </c>
      <c r="G16" s="1"/>
    </row>
    <row r="17" spans="1:7" x14ac:dyDescent="0.45">
      <c r="A17" s="1"/>
      <c r="B17" s="56" t="s">
        <v>44</v>
      </c>
      <c r="C17" s="10">
        <f>SUM(C16:C16)</f>
        <v>0</v>
      </c>
      <c r="D17" s="11" t="s">
        <v>3</v>
      </c>
      <c r="E17" s="10">
        <f>SUM(E16:E16)</f>
        <v>0</v>
      </c>
      <c r="F17" s="11" t="s">
        <v>3</v>
      </c>
      <c r="G17" s="1"/>
    </row>
    <row r="18" spans="1:7" x14ac:dyDescent="0.45">
      <c r="A18" s="1"/>
      <c r="B18" s="56" t="s">
        <v>46</v>
      </c>
      <c r="C18" s="10">
        <f>C17*(1+'Fane 10. Nøgletal'!C14)^2</f>
        <v>0</v>
      </c>
      <c r="D18" s="11" t="s">
        <v>3</v>
      </c>
      <c r="E18" s="10">
        <f>E17*(1+'Fane 10. Nøgletal'!C14)^2</f>
        <v>0</v>
      </c>
      <c r="F18" s="11" t="s">
        <v>3</v>
      </c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88" t="s">
        <v>73</v>
      </c>
      <c r="C20" s="89"/>
      <c r="D20" s="89"/>
      <c r="E20" s="89"/>
      <c r="F20" s="90"/>
      <c r="G20" s="1"/>
    </row>
    <row r="21" spans="1:7" x14ac:dyDescent="0.45">
      <c r="A21" s="1"/>
      <c r="B21" s="54" t="s">
        <v>17</v>
      </c>
      <c r="C21" s="54" t="s">
        <v>11</v>
      </c>
      <c r="D21" s="55"/>
      <c r="E21" s="54" t="s">
        <v>28</v>
      </c>
      <c r="F21" s="55"/>
      <c r="G21" s="1"/>
    </row>
    <row r="22" spans="1:7" x14ac:dyDescent="0.45">
      <c r="A22" s="1"/>
      <c r="B22" s="20" t="s">
        <v>134</v>
      </c>
      <c r="C22" s="8">
        <v>0</v>
      </c>
      <c r="D22" s="12" t="s">
        <v>3</v>
      </c>
      <c r="E22" s="8">
        <v>0</v>
      </c>
      <c r="F22" s="12" t="s">
        <v>3</v>
      </c>
      <c r="G22" s="1"/>
    </row>
    <row r="23" spans="1:7" x14ac:dyDescent="0.45">
      <c r="A23" s="1"/>
      <c r="B23" s="56" t="s">
        <v>44</v>
      </c>
      <c r="C23" s="10">
        <f>SUM(C22:C22)</f>
        <v>0</v>
      </c>
      <c r="D23" s="11" t="s">
        <v>3</v>
      </c>
      <c r="E23" s="10">
        <f>SUM(E22:E22)</f>
        <v>0</v>
      </c>
      <c r="F23" s="11" t="s">
        <v>3</v>
      </c>
      <c r="G23" s="1"/>
    </row>
    <row r="24" spans="1:7" x14ac:dyDescent="0.45">
      <c r="A24" s="1"/>
      <c r="B24" s="56" t="s">
        <v>115</v>
      </c>
      <c r="C24" s="10">
        <f>C23*(1+'Fane 10. Nøgletal'!C14)^3</f>
        <v>0</v>
      </c>
      <c r="D24" s="11" t="s">
        <v>3</v>
      </c>
      <c r="E24" s="10">
        <f>E23*(1+'Fane 10. Nøgletal'!C14)^3</f>
        <v>0</v>
      </c>
      <c r="F24" s="11" t="s">
        <v>3</v>
      </c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88" t="s">
        <v>116</v>
      </c>
      <c r="C26" s="89"/>
      <c r="D26" s="89"/>
      <c r="E26" s="89"/>
      <c r="F26" s="90"/>
      <c r="G26" s="1"/>
    </row>
    <row r="27" spans="1:7" x14ac:dyDescent="0.45">
      <c r="A27" s="1"/>
      <c r="B27" s="54" t="s">
        <v>17</v>
      </c>
      <c r="C27" s="54" t="s">
        <v>11</v>
      </c>
      <c r="D27" s="55"/>
      <c r="E27" s="54" t="s">
        <v>28</v>
      </c>
      <c r="F27" s="55"/>
      <c r="G27" s="1"/>
    </row>
    <row r="28" spans="1:7" x14ac:dyDescent="0.45">
      <c r="A28" s="1"/>
      <c r="B28" s="20" t="s">
        <v>134</v>
      </c>
      <c r="C28" s="8">
        <v>0</v>
      </c>
      <c r="D28" s="12" t="s">
        <v>3</v>
      </c>
      <c r="E28" s="8">
        <v>0</v>
      </c>
      <c r="F28" s="12" t="s">
        <v>3</v>
      </c>
      <c r="G28" s="1"/>
    </row>
    <row r="29" spans="1:7" x14ac:dyDescent="0.45">
      <c r="A29" s="1"/>
      <c r="B29" s="56" t="s">
        <v>44</v>
      </c>
      <c r="C29" s="10">
        <f>SUM(C28:C28)</f>
        <v>0</v>
      </c>
      <c r="D29" s="11" t="s">
        <v>3</v>
      </c>
      <c r="E29" s="10">
        <f>SUM(E28:E28)</f>
        <v>0</v>
      </c>
      <c r="F29" s="11" t="s">
        <v>3</v>
      </c>
      <c r="G29" s="1"/>
    </row>
    <row r="30" spans="1:7" x14ac:dyDescent="0.45">
      <c r="A30" s="1"/>
      <c r="B30" s="56" t="s">
        <v>117</v>
      </c>
      <c r="C30" s="10">
        <f>C29*(1+'Fane 10. Nøgletal'!C14)^4</f>
        <v>0</v>
      </c>
      <c r="D30" s="11" t="s">
        <v>3</v>
      </c>
      <c r="E30" s="10">
        <f>E29*(1+'Fane 10. Nøgletal'!C14)^4</f>
        <v>0</v>
      </c>
      <c r="F30" s="11" t="s">
        <v>3</v>
      </c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</sheetData>
  <sheetProtection algorithmName="SHA-512" hashValue="RmTg/aL95cnizx76EWMVG7ceP0/D6eEPciXQWRcDNwAObu6sxmhM7K8u9m/E7mpGNB7RRHnvsTmlZRrPEM7s4w==" saltValue="TcLTKJixF+9QcT+jWOShYQ==" spinCount="100000" sheet="1" objects="1" scenarios="1"/>
  <customSheetViews>
    <customSheetView guid="{61068CEC-D951-4EA8-B2F0-E3FAF0E2CE33}" showPageBreaks="1" showGridLines="0" view="pageLayout" topLeftCell="A7">
      <pageMargins left="0.7" right="0.7" top="0.75" bottom="0.75" header="0.3" footer="0.3"/>
      <pageSetup paperSize="9" orientation="portrait" r:id="rId1"/>
    </customSheetView>
  </customSheetViews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49"/>
  <sheetViews>
    <sheetView showGridLines="0" view="pageLayout" zoomScaleNormal="100" workbookViewId="0"/>
  </sheetViews>
  <sheetFormatPr defaultColWidth="9.1328125" defaultRowHeight="14.25" x14ac:dyDescent="0.45"/>
  <cols>
    <col min="1" max="1" width="11.1328125" style="2" customWidth="1"/>
    <col min="2" max="2" width="55.86328125" style="2" customWidth="1"/>
    <col min="3" max="3" width="6.265625" style="2" customWidth="1"/>
    <col min="4" max="4" width="12.265625" style="2" customWidth="1"/>
    <col min="5" max="16384" width="9.1328125" style="2"/>
  </cols>
  <sheetData>
    <row r="1" spans="1:4" x14ac:dyDescent="0.45">
      <c r="A1" s="1"/>
      <c r="B1" s="1"/>
      <c r="C1" s="1"/>
      <c r="D1" s="1"/>
    </row>
    <row r="2" spans="1:4" x14ac:dyDescent="0.45">
      <c r="A2" s="1"/>
      <c r="B2" s="1"/>
      <c r="C2" s="1"/>
      <c r="D2" s="1"/>
    </row>
    <row r="3" spans="1:4" ht="15" customHeight="1" x14ac:dyDescent="0.45">
      <c r="A3" s="1"/>
      <c r="B3" s="86" t="s">
        <v>93</v>
      </c>
      <c r="C3" s="86"/>
      <c r="D3" s="1"/>
    </row>
    <row r="4" spans="1:4" ht="25.5" customHeight="1" x14ac:dyDescent="0.45">
      <c r="A4" s="1"/>
      <c r="B4" s="86"/>
      <c r="C4" s="86"/>
      <c r="D4" s="1"/>
    </row>
    <row r="5" spans="1:4" x14ac:dyDescent="0.45">
      <c r="A5" s="1"/>
      <c r="B5" s="1"/>
      <c r="C5" s="1"/>
      <c r="D5" s="1"/>
    </row>
    <row r="6" spans="1:4" x14ac:dyDescent="0.45">
      <c r="A6" s="1"/>
      <c r="B6" s="1"/>
      <c r="C6" s="1"/>
      <c r="D6" s="1"/>
    </row>
    <row r="7" spans="1:4" x14ac:dyDescent="0.45">
      <c r="A7" s="1"/>
      <c r="B7" s="1"/>
      <c r="C7" s="1"/>
      <c r="D7" s="1"/>
    </row>
    <row r="8" spans="1:4" x14ac:dyDescent="0.45">
      <c r="A8" s="1"/>
      <c r="B8" s="56" t="s">
        <v>14</v>
      </c>
      <c r="C8" s="57"/>
      <c r="D8" s="1"/>
    </row>
    <row r="9" spans="1:4" x14ac:dyDescent="0.45">
      <c r="A9" s="1"/>
      <c r="B9" s="28" t="s">
        <v>127</v>
      </c>
      <c r="C9" s="21">
        <v>1.2699999999999999E-2</v>
      </c>
      <c r="D9" s="1"/>
    </row>
    <row r="10" spans="1:4" x14ac:dyDescent="0.45">
      <c r="A10" s="1"/>
      <c r="B10" s="28" t="s">
        <v>118</v>
      </c>
      <c r="C10" s="21">
        <v>1.7500000000000002E-2</v>
      </c>
      <c r="D10" s="1"/>
    </row>
    <row r="11" spans="1:4" x14ac:dyDescent="0.45">
      <c r="A11" s="1"/>
      <c r="B11" s="28" t="s">
        <v>22</v>
      </c>
      <c r="C11" s="21">
        <v>1.6899999999999998E-2</v>
      </c>
      <c r="D11" s="1"/>
    </row>
    <row r="12" spans="1:4" x14ac:dyDescent="0.45">
      <c r="A12" s="1"/>
      <c r="B12" s="28" t="s">
        <v>36</v>
      </c>
      <c r="C12" s="21">
        <v>1.9699999999999999E-2</v>
      </c>
      <c r="D12" s="1"/>
    </row>
    <row r="13" spans="1:4" x14ac:dyDescent="0.45">
      <c r="A13" s="1"/>
      <c r="B13" s="30" t="s">
        <v>74</v>
      </c>
      <c r="C13" s="31">
        <v>1.2200000000000001E-2</v>
      </c>
      <c r="D13" s="1"/>
    </row>
    <row r="14" spans="1:4" x14ac:dyDescent="0.45">
      <c r="A14" s="1"/>
      <c r="B14" s="30" t="s">
        <v>119</v>
      </c>
      <c r="C14" s="31">
        <v>3.3E-3</v>
      </c>
      <c r="D14" s="1"/>
    </row>
    <row r="15" spans="1:4" x14ac:dyDescent="0.45">
      <c r="A15" s="1"/>
      <c r="B15" s="56"/>
      <c r="C15" s="57"/>
      <c r="D15" s="1"/>
    </row>
    <row r="16" spans="1:4" x14ac:dyDescent="0.45">
      <c r="A16" s="1"/>
      <c r="B16" s="1"/>
      <c r="C16" s="1"/>
      <c r="D16" s="1"/>
    </row>
    <row r="17" spans="1:4" x14ac:dyDescent="0.45">
      <c r="A17" s="1"/>
      <c r="B17" s="1"/>
      <c r="C17" s="1"/>
      <c r="D17" s="1"/>
    </row>
    <row r="18" spans="1:4" x14ac:dyDescent="0.45">
      <c r="A18" s="1"/>
      <c r="B18" s="56" t="s">
        <v>54</v>
      </c>
      <c r="C18" s="57"/>
      <c r="D18" s="1"/>
    </row>
    <row r="19" spans="1:4" x14ac:dyDescent="0.45">
      <c r="A19" s="1"/>
      <c r="B19" s="28" t="s">
        <v>58</v>
      </c>
      <c r="C19" s="21">
        <v>1.7000000000000001E-2</v>
      </c>
      <c r="D19" s="1"/>
    </row>
    <row r="20" spans="1:4" x14ac:dyDescent="0.45">
      <c r="A20" s="1"/>
      <c r="B20" s="106"/>
      <c r="C20" s="107"/>
      <c r="D20" s="1"/>
    </row>
    <row r="21" spans="1:4" x14ac:dyDescent="0.45">
      <c r="A21" s="1"/>
      <c r="B21" s="1"/>
      <c r="C21" s="1"/>
      <c r="D21" s="1"/>
    </row>
    <row r="22" spans="1:4" x14ac:dyDescent="0.45">
      <c r="A22" s="1"/>
      <c r="B22" s="1"/>
      <c r="C22" s="1"/>
      <c r="D22" s="1"/>
    </row>
    <row r="23" spans="1:4" x14ac:dyDescent="0.45">
      <c r="A23" s="1"/>
      <c r="B23" s="1"/>
      <c r="C23" s="1"/>
      <c r="D23" s="1"/>
    </row>
    <row r="24" spans="1:4" x14ac:dyDescent="0.45">
      <c r="A24" s="1"/>
      <c r="B24" s="1"/>
      <c r="C24" s="1"/>
      <c r="D24" s="1"/>
    </row>
    <row r="25" spans="1:4" x14ac:dyDescent="0.45">
      <c r="A25" s="1"/>
      <c r="B25" s="1"/>
      <c r="C25" s="1"/>
      <c r="D25" s="1"/>
    </row>
    <row r="26" spans="1:4" x14ac:dyDescent="0.45">
      <c r="A26" s="1"/>
      <c r="B26" s="1"/>
      <c r="C26" s="1"/>
      <c r="D26" s="1"/>
    </row>
    <row r="27" spans="1:4" x14ac:dyDescent="0.45">
      <c r="A27" s="1"/>
      <c r="B27" s="1"/>
      <c r="C27" s="1"/>
      <c r="D27" s="1"/>
    </row>
    <row r="28" spans="1:4" x14ac:dyDescent="0.45">
      <c r="A28" s="1"/>
      <c r="B28" s="1"/>
      <c r="C28" s="1"/>
      <c r="D28" s="1"/>
    </row>
    <row r="29" spans="1:4" x14ac:dyDescent="0.45">
      <c r="A29" s="1"/>
      <c r="B29" s="1"/>
      <c r="C29" s="1"/>
      <c r="D29" s="1"/>
    </row>
    <row r="30" spans="1:4" x14ac:dyDescent="0.45">
      <c r="A30" s="1"/>
      <c r="B30" s="1"/>
      <c r="C30" s="1"/>
      <c r="D30" s="1"/>
    </row>
    <row r="31" spans="1:4" x14ac:dyDescent="0.45">
      <c r="A31" s="1"/>
      <c r="B31" s="1"/>
      <c r="C31" s="1"/>
      <c r="D31" s="1"/>
    </row>
    <row r="32" spans="1:4" x14ac:dyDescent="0.45">
      <c r="A32" s="1"/>
      <c r="B32" s="1"/>
      <c r="C32" s="1"/>
      <c r="D32" s="1"/>
    </row>
    <row r="33" spans="1:4" x14ac:dyDescent="0.45">
      <c r="A33" s="1"/>
      <c r="B33" s="1"/>
      <c r="C33" s="1"/>
      <c r="D33" s="1"/>
    </row>
    <row r="34" spans="1:4" x14ac:dyDescent="0.45">
      <c r="A34" s="1"/>
      <c r="B34" s="1"/>
      <c r="C34" s="1"/>
      <c r="D34" s="1"/>
    </row>
    <row r="35" spans="1:4" x14ac:dyDescent="0.45">
      <c r="A35" s="1"/>
      <c r="B35" s="1"/>
      <c r="C35" s="1"/>
      <c r="D35" s="1"/>
    </row>
    <row r="36" spans="1:4" x14ac:dyDescent="0.45">
      <c r="A36" s="1"/>
      <c r="B36" s="1"/>
      <c r="C36" s="1"/>
      <c r="D36" s="1"/>
    </row>
    <row r="37" spans="1:4" x14ac:dyDescent="0.45">
      <c r="A37" s="1"/>
      <c r="B37" s="1"/>
      <c r="C37" s="1"/>
      <c r="D37" s="1"/>
    </row>
    <row r="38" spans="1:4" x14ac:dyDescent="0.45">
      <c r="A38" s="1"/>
      <c r="B38" s="1"/>
      <c r="C38" s="1"/>
      <c r="D38" s="1"/>
    </row>
    <row r="39" spans="1:4" x14ac:dyDescent="0.45">
      <c r="A39" s="1"/>
      <c r="B39" s="1"/>
      <c r="C39" s="1"/>
      <c r="D39" s="1"/>
    </row>
    <row r="40" spans="1:4" x14ac:dyDescent="0.45">
      <c r="A40" s="1"/>
      <c r="B40" s="1"/>
      <c r="C40" s="1"/>
      <c r="D40" s="1"/>
    </row>
    <row r="41" spans="1:4" x14ac:dyDescent="0.45">
      <c r="A41" s="1"/>
      <c r="B41" s="1"/>
      <c r="C41" s="1"/>
      <c r="D41" s="1"/>
    </row>
    <row r="42" spans="1:4" x14ac:dyDescent="0.45">
      <c r="A42" s="1"/>
      <c r="B42" s="1"/>
      <c r="C42" s="1"/>
      <c r="D42" s="1"/>
    </row>
    <row r="43" spans="1:4" x14ac:dyDescent="0.45">
      <c r="A43" s="1"/>
      <c r="B43" s="1"/>
      <c r="C43" s="1"/>
      <c r="D43" s="1"/>
    </row>
    <row r="44" spans="1:4" x14ac:dyDescent="0.45">
      <c r="A44" s="1"/>
      <c r="B44" s="1"/>
      <c r="C44" s="1"/>
      <c r="D44" s="1"/>
    </row>
    <row r="45" spans="1:4" x14ac:dyDescent="0.45">
      <c r="A45" s="1"/>
      <c r="B45" s="1"/>
      <c r="C45" s="1"/>
      <c r="D45" s="1"/>
    </row>
    <row r="46" spans="1:4" x14ac:dyDescent="0.45">
      <c r="A46" s="1"/>
      <c r="B46" s="1"/>
      <c r="C46" s="1"/>
      <c r="D46" s="1"/>
    </row>
    <row r="47" spans="1:4" x14ac:dyDescent="0.45">
      <c r="A47" s="1"/>
      <c r="B47" s="1"/>
      <c r="C47" s="1"/>
      <c r="D47" s="1"/>
    </row>
    <row r="48" spans="1:4" x14ac:dyDescent="0.45">
      <c r="A48" s="1"/>
      <c r="B48" s="1"/>
      <c r="C48" s="1"/>
      <c r="D48" s="1"/>
    </row>
    <row r="49" spans="1:4" x14ac:dyDescent="0.45">
      <c r="A49" s="1"/>
      <c r="B49" s="1"/>
      <c r="C49" s="1"/>
      <c r="D49" s="1"/>
    </row>
  </sheetData>
  <sheetProtection algorithmName="SHA-512" hashValue="zLC9x8IoW0rplwjLjieaYaaUh4Y0xS7epbTQqNYMHpddZLcEmp1vV5UjHN1cmEzYWAE/ZCbTdK1cJ5HXkblYgg==" saltValue="ABmud/WoAx6UlXe5ZI/PpQ==" spinCount="100000" sheet="1" objects="1" scenarios="1"/>
  <customSheetViews>
    <customSheetView guid="{61068CEC-D951-4EA8-B2F0-E3FAF0E2CE33}" showPageBreaks="1" showGridLines="0" view="pageLayout" topLeftCell="A4">
      <selection activeCell="C18" sqref="C18"/>
      <pageMargins left="0.8125" right="0.7" top="0.75" bottom="0.75" header="0.3" footer="0.3"/>
      <pageSetup paperSize="9" orientation="portrait" r:id="rId1"/>
    </customSheetView>
  </customSheetViews>
  <mergeCells count="2">
    <mergeCell ref="B3:C4"/>
    <mergeCell ref="B20:C20"/>
  </mergeCells>
  <pageMargins left="0.8125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50"/>
  <sheetViews>
    <sheetView showGridLines="0" view="pageLayout" zoomScaleNormal="100" workbookViewId="0"/>
  </sheetViews>
  <sheetFormatPr defaultColWidth="9" defaultRowHeight="14.25" x14ac:dyDescent="0.45"/>
  <cols>
    <col min="1" max="1" width="5.1328125" style="2" customWidth="1"/>
    <col min="2" max="2" width="60.59765625" style="2" customWidth="1"/>
    <col min="3" max="3" width="9.1328125" style="2" hidden="1" customWidth="1"/>
    <col min="4" max="4" width="27.1328125" style="2" hidden="1" customWidth="1"/>
    <col min="5" max="5" width="10.1328125" style="2" customWidth="1"/>
    <col min="6" max="6" width="3.86328125" style="2" customWidth="1"/>
    <col min="7" max="7" width="6.265625" style="2" customWidth="1"/>
    <col min="8" max="16384" width="9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3" t="s">
        <v>98</v>
      </c>
      <c r="C3" s="73"/>
      <c r="D3" s="73"/>
      <c r="E3" s="73"/>
      <c r="F3" s="73"/>
      <c r="G3" s="1"/>
    </row>
    <row r="4" spans="1:7" ht="15" customHeight="1" x14ac:dyDescent="0.45">
      <c r="A4" s="1"/>
      <c r="B4" s="73"/>
      <c r="C4" s="73"/>
      <c r="D4" s="73"/>
      <c r="E4" s="73"/>
      <c r="F4" s="73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42" t="s">
        <v>13</v>
      </c>
      <c r="C8" s="42"/>
      <c r="D8" s="42"/>
      <c r="E8" s="42"/>
      <c r="F8" s="42"/>
      <c r="G8" s="1"/>
    </row>
    <row r="9" spans="1:7" x14ac:dyDescent="0.45">
      <c r="A9" s="1"/>
      <c r="B9" s="39" t="s">
        <v>24</v>
      </c>
      <c r="C9" s="39"/>
      <c r="D9" s="39"/>
      <c r="E9" s="7">
        <f>'Fane 3. Omkostninger i ØR2021'!E16</f>
        <v>5963697.7576981876</v>
      </c>
      <c r="F9" s="39" t="s">
        <v>3</v>
      </c>
      <c r="G9" s="1"/>
    </row>
    <row r="10" spans="1:7" ht="17.100000000000001" customHeight="1" x14ac:dyDescent="0.45">
      <c r="A10" s="1"/>
      <c r="B10" s="33" t="s">
        <v>121</v>
      </c>
      <c r="C10" s="39"/>
      <c r="D10" s="39"/>
      <c r="E10" s="7">
        <f>'Fane 3. Omkostninger i ØR2021'!E13*(1-'Fane 10. Nøgletal'!C19)*(1+'Fane 10. Nøgletal'!C13)</f>
        <v>0</v>
      </c>
      <c r="F10" s="39" t="s">
        <v>3</v>
      </c>
      <c r="G10" s="1"/>
    </row>
    <row r="11" spans="1:7" ht="17.100000000000001" customHeight="1" x14ac:dyDescent="0.45">
      <c r="A11" s="1"/>
      <c r="B11" s="29" t="s">
        <v>60</v>
      </c>
      <c r="C11" s="39"/>
      <c r="D11" s="39"/>
      <c r="E11" s="7">
        <f>'Fane 7.1. Varige tillæg'!C12+'Fane 7.1. Varige tillæg'!E12</f>
        <v>0</v>
      </c>
      <c r="F11" s="39" t="s">
        <v>3</v>
      </c>
      <c r="G11" s="1"/>
    </row>
    <row r="12" spans="1:7" ht="17.100000000000001" customHeight="1" x14ac:dyDescent="0.45">
      <c r="A12" s="1"/>
      <c r="B12" s="29" t="s">
        <v>62</v>
      </c>
      <c r="C12" s="39"/>
      <c r="D12" s="39"/>
      <c r="E12" s="8">
        <f>-('Fane 9. Bortfald'!C12+'Fane 9. Bortfald'!E12)</f>
        <v>0</v>
      </c>
      <c r="F12" s="39" t="s">
        <v>3</v>
      </c>
      <c r="G12" s="1"/>
    </row>
    <row r="13" spans="1:7" ht="17.100000000000001" customHeight="1" x14ac:dyDescent="0.45">
      <c r="A13" s="1"/>
      <c r="B13" s="29" t="s">
        <v>65</v>
      </c>
      <c r="C13" s="39"/>
      <c r="D13" s="39"/>
      <c r="E13" s="8">
        <f>'Fane 8. Tilknyttet virksomhed'!C12+'Fane 8. Tilknyttet virksomhed'!E12</f>
        <v>0</v>
      </c>
      <c r="F13" s="39" t="s">
        <v>3</v>
      </c>
      <c r="G13" s="1"/>
    </row>
    <row r="14" spans="1:7" ht="17.100000000000001" customHeight="1" x14ac:dyDescent="0.45">
      <c r="A14" s="1"/>
      <c r="B14" s="29" t="s">
        <v>18</v>
      </c>
      <c r="C14" s="39"/>
      <c r="D14" s="39"/>
      <c r="E14" s="8">
        <f>E9*'Fane 10. Nøgletal'!C13+SUM(E11:E13)*'Fane 10. Nøgletal'!C14</f>
        <v>72757.112643917892</v>
      </c>
      <c r="F14" s="39" t="s">
        <v>3</v>
      </c>
      <c r="G14" s="1"/>
    </row>
    <row r="15" spans="1:7" ht="17.100000000000001" customHeight="1" x14ac:dyDescent="0.45">
      <c r="A15" s="1"/>
      <c r="B15" s="29" t="s">
        <v>54</v>
      </c>
      <c r="C15" s="39"/>
      <c r="D15" s="39"/>
      <c r="E15" s="8">
        <f>-SUM(E9,E11:E14)*'Fane 10. Nøgletal'!C19</f>
        <v>-102619.7327958158</v>
      </c>
      <c r="F15" s="39" t="s">
        <v>3</v>
      </c>
      <c r="G15" s="1"/>
    </row>
    <row r="16" spans="1:7" ht="15" customHeight="1" x14ac:dyDescent="0.45">
      <c r="A16" s="1"/>
      <c r="B16" s="53" t="s">
        <v>20</v>
      </c>
      <c r="C16" s="41"/>
      <c r="D16" s="41"/>
      <c r="E16" s="9">
        <f>SUM(E9,E11:E15)</f>
        <v>5933835.1375462897</v>
      </c>
      <c r="F16" s="43" t="s">
        <v>3</v>
      </c>
      <c r="G16" s="1"/>
    </row>
    <row r="17" spans="1:7" ht="15" customHeight="1" x14ac:dyDescent="0.45">
      <c r="A17" s="1"/>
      <c r="B17" s="42" t="s">
        <v>12</v>
      </c>
      <c r="C17" s="42"/>
      <c r="D17" s="42"/>
      <c r="E17" s="42"/>
      <c r="F17" s="42"/>
      <c r="G17" s="1"/>
    </row>
    <row r="18" spans="1:7" ht="15" customHeight="1" x14ac:dyDescent="0.45">
      <c r="A18" s="1"/>
      <c r="B18" s="43" t="s">
        <v>12</v>
      </c>
      <c r="C18" s="43"/>
      <c r="D18" s="43"/>
      <c r="E18" s="9">
        <f>'Fane 4. Ikke-påvirkelige omk.'!C14</f>
        <v>2489810.7653685105</v>
      </c>
      <c r="F18" s="43" t="s">
        <v>3</v>
      </c>
      <c r="G18" s="1"/>
    </row>
    <row r="19" spans="1:7" ht="15" customHeight="1" x14ac:dyDescent="0.45">
      <c r="A19" s="1"/>
      <c r="B19" s="42" t="s">
        <v>42</v>
      </c>
      <c r="C19" s="42"/>
      <c r="D19" s="42"/>
      <c r="E19" s="42"/>
      <c r="F19" s="42"/>
      <c r="G19" s="1"/>
    </row>
    <row r="20" spans="1:7" ht="15" customHeight="1" x14ac:dyDescent="0.45">
      <c r="A20" s="1"/>
      <c r="B20" s="29" t="s">
        <v>39</v>
      </c>
      <c r="C20" s="39"/>
      <c r="D20" s="39"/>
      <c r="E20" s="8">
        <f>'Fane 7.2. Engangstillæg'!C13</f>
        <v>0</v>
      </c>
      <c r="F20" s="39" t="s">
        <v>3</v>
      </c>
      <c r="G20" s="1"/>
    </row>
    <row r="21" spans="1:7" x14ac:dyDescent="0.45">
      <c r="A21" s="1"/>
      <c r="B21" s="29" t="s">
        <v>40</v>
      </c>
      <c r="C21" s="39"/>
      <c r="D21" s="39"/>
      <c r="E21" s="8">
        <f>'Fane 7.2. Engangstillæg'!E13</f>
        <v>0</v>
      </c>
      <c r="F21" s="39" t="s">
        <v>3</v>
      </c>
      <c r="G21" s="1"/>
    </row>
    <row r="22" spans="1:7" ht="15" customHeight="1" x14ac:dyDescent="0.45">
      <c r="A22" s="1"/>
      <c r="B22" s="53" t="s">
        <v>43</v>
      </c>
      <c r="C22" s="41"/>
      <c r="D22" s="41"/>
      <c r="E22" s="9">
        <f>SUM(E20:E21)</f>
        <v>0</v>
      </c>
      <c r="F22" s="43" t="s">
        <v>3</v>
      </c>
      <c r="G22" s="1"/>
    </row>
    <row r="23" spans="1:7" x14ac:dyDescent="0.45">
      <c r="A23" s="1"/>
      <c r="B23" s="42" t="s">
        <v>85</v>
      </c>
      <c r="C23" s="42"/>
      <c r="D23" s="42"/>
      <c r="E23" s="42"/>
      <c r="F23" s="42"/>
      <c r="G23" s="1"/>
    </row>
    <row r="24" spans="1:7" x14ac:dyDescent="0.45">
      <c r="A24" s="1"/>
      <c r="B24" s="53" t="s">
        <v>31</v>
      </c>
      <c r="C24" s="41"/>
      <c r="D24" s="41"/>
      <c r="E24" s="9">
        <v>-2204346.6219260502</v>
      </c>
      <c r="F24" s="43" t="s">
        <v>3</v>
      </c>
      <c r="G24" s="1"/>
    </row>
    <row r="25" spans="1:7" x14ac:dyDescent="0.45">
      <c r="A25" s="1"/>
      <c r="B25" s="53" t="s">
        <v>86</v>
      </c>
      <c r="C25" s="41"/>
      <c r="D25" s="41"/>
      <c r="E25" s="9">
        <f>'Fane 5. Kontrol af ØR2020'!E29</f>
        <v>0</v>
      </c>
      <c r="F25" s="43" t="s">
        <v>3</v>
      </c>
      <c r="G25" s="1"/>
    </row>
    <row r="26" spans="1:7" x14ac:dyDescent="0.45">
      <c r="A26" s="1"/>
      <c r="B26" s="42" t="s">
        <v>148</v>
      </c>
      <c r="C26" s="42"/>
      <c r="D26" s="42"/>
      <c r="E26" s="42"/>
      <c r="F26" s="42"/>
      <c r="G26" s="1"/>
    </row>
    <row r="27" spans="1:7" x14ac:dyDescent="0.45">
      <c r="A27" s="1"/>
      <c r="B27" s="43" t="s">
        <v>149</v>
      </c>
      <c r="C27" s="43"/>
      <c r="D27" s="43"/>
      <c r="E27" s="9">
        <v>0</v>
      </c>
      <c r="F27" s="43" t="s">
        <v>3</v>
      </c>
      <c r="G27" s="1"/>
    </row>
    <row r="28" spans="1:7" x14ac:dyDescent="0.45">
      <c r="A28" s="1"/>
      <c r="B28" s="42" t="s">
        <v>26</v>
      </c>
      <c r="C28" s="42"/>
      <c r="D28" s="42"/>
      <c r="E28" s="10">
        <f>SUM(E16,E18,E22,E24,E25,E27)</f>
        <v>6219299.2809887491</v>
      </c>
      <c r="F28" s="11" t="s">
        <v>3</v>
      </c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2:6" x14ac:dyDescent="0.45">
      <c r="B49" s="1"/>
      <c r="C49" s="1"/>
      <c r="D49" s="1"/>
      <c r="E49" s="1"/>
      <c r="F49" s="1"/>
    </row>
    <row r="50" spans="2:6" x14ac:dyDescent="0.45">
      <c r="B50" s="1"/>
      <c r="C50" s="1"/>
      <c r="D50" s="1"/>
      <c r="E50" s="1"/>
      <c r="F50" s="1"/>
    </row>
  </sheetData>
  <sheetProtection algorithmName="SHA-512" hashValue="pPB2HSaUWhEzToGjtEQ+VjaOkmwRQMWHBFh8mLyhD0qfRkZ7A6TApUb1TQ0HwDbWZp+ZBQIxF+UdQanxx02+iA==" saltValue="avIDBD6Lg4nuV0hqWOa25A==" spinCount="100000" sheet="1" objects="1" scenarios="1"/>
  <customSheetViews>
    <customSheetView guid="{61068CEC-D951-4EA8-B2F0-E3FAF0E2CE33}" showPageBreaks="1" showGridLines="0" hiddenColumns="1" view="pageLayout">
      <selection activeCell="B2" sqref="B2"/>
      <pageMargins left="0.7" right="0.7" top="0.75" bottom="0.75" header="0.3" footer="0.3"/>
      <pageSetup paperSize="9" orientation="portrait" r:id="rId1"/>
    </customSheetView>
  </customSheetViews>
  <mergeCells count="1">
    <mergeCell ref="B3:F4"/>
  </mergeCells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48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3.59765625" style="2" customWidth="1"/>
    <col min="3" max="3" width="0" style="2" hidden="1" customWidth="1"/>
    <col min="4" max="4" width="27" style="2" hidden="1" customWidth="1"/>
    <col min="5" max="5" width="10.2656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3" t="s">
        <v>99</v>
      </c>
      <c r="C3" s="73"/>
      <c r="D3" s="73"/>
      <c r="E3" s="73"/>
      <c r="F3" s="73"/>
      <c r="G3" s="1"/>
    </row>
    <row r="4" spans="1:7" ht="15" customHeight="1" x14ac:dyDescent="0.45">
      <c r="A4" s="1"/>
      <c r="B4" s="73"/>
      <c r="C4" s="73"/>
      <c r="D4" s="73"/>
      <c r="E4" s="73"/>
      <c r="F4" s="73"/>
      <c r="G4" s="1"/>
    </row>
    <row r="5" spans="1:7" x14ac:dyDescent="0.45">
      <c r="A5" s="1"/>
      <c r="B5" s="74" t="s">
        <v>101</v>
      </c>
      <c r="C5" s="74"/>
      <c r="D5" s="74"/>
      <c r="E5" s="74"/>
      <c r="F5" s="74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42" t="s">
        <v>13</v>
      </c>
      <c r="C8" s="42"/>
      <c r="D8" s="42"/>
      <c r="E8" s="42"/>
      <c r="F8" s="42"/>
      <c r="G8" s="1"/>
    </row>
    <row r="9" spans="1:7" ht="15" customHeight="1" x14ac:dyDescent="0.45">
      <c r="A9" s="1"/>
      <c r="B9" s="39" t="s">
        <v>66</v>
      </c>
      <c r="C9" s="39"/>
      <c r="D9" s="39"/>
      <c r="E9" s="7">
        <f>'Fane 2.1. Økonomisk ramme 2022'!E16</f>
        <v>5933835.1375462897</v>
      </c>
      <c r="F9" s="39" t="s">
        <v>3</v>
      </c>
      <c r="G9" s="1"/>
    </row>
    <row r="10" spans="1:7" ht="15" customHeight="1" x14ac:dyDescent="0.45">
      <c r="A10" s="1"/>
      <c r="B10" s="29" t="s">
        <v>62</v>
      </c>
      <c r="C10" s="39"/>
      <c r="D10" s="39"/>
      <c r="E10" s="7">
        <f>-('Fane 9. Bortfald'!C18+'Fane 9. Bortfald'!E18)</f>
        <v>0</v>
      </c>
      <c r="F10" s="39" t="s">
        <v>3</v>
      </c>
      <c r="G10" s="1"/>
    </row>
    <row r="11" spans="1:7" ht="15" customHeight="1" x14ac:dyDescent="0.45">
      <c r="A11" s="1"/>
      <c r="B11" s="40" t="s">
        <v>18</v>
      </c>
      <c r="C11" s="39"/>
      <c r="D11" s="39"/>
      <c r="E11" s="8">
        <f>SUM(E9:E10)*'Fane 10. Nøgletal'!C14</f>
        <v>19581.655953902755</v>
      </c>
      <c r="F11" s="39" t="s">
        <v>3</v>
      </c>
      <c r="G11" s="1"/>
    </row>
    <row r="12" spans="1:7" ht="15" customHeight="1" x14ac:dyDescent="0.45">
      <c r="A12" s="1"/>
      <c r="B12" s="40" t="s">
        <v>54</v>
      </c>
      <c r="C12" s="39"/>
      <c r="D12" s="39"/>
      <c r="E12" s="8">
        <f>-SUM(E9:E11)*'Fane 10. Nøgletal'!C19</f>
        <v>-101208.08548950328</v>
      </c>
      <c r="F12" s="39" t="s">
        <v>3</v>
      </c>
      <c r="G12" s="1"/>
    </row>
    <row r="13" spans="1:7" ht="15" customHeight="1" x14ac:dyDescent="0.45">
      <c r="A13" s="1"/>
      <c r="B13" s="41" t="s">
        <v>20</v>
      </c>
      <c r="C13" s="41"/>
      <c r="D13" s="41"/>
      <c r="E13" s="9">
        <f>SUM(E9:E12)</f>
        <v>5852208.7080106894</v>
      </c>
      <c r="F13" s="43" t="s">
        <v>3</v>
      </c>
      <c r="G13" s="1"/>
    </row>
    <row r="14" spans="1:7" x14ac:dyDescent="0.45">
      <c r="A14" s="1"/>
      <c r="B14" s="42" t="s">
        <v>12</v>
      </c>
      <c r="C14" s="42"/>
      <c r="D14" s="42"/>
      <c r="E14" s="42"/>
      <c r="F14" s="42"/>
      <c r="G14" s="1"/>
    </row>
    <row r="15" spans="1:7" ht="15" customHeight="1" x14ac:dyDescent="0.45">
      <c r="A15" s="1"/>
      <c r="B15" s="43" t="s">
        <v>12</v>
      </c>
      <c r="C15" s="43"/>
      <c r="D15" s="43"/>
      <c r="E15" s="9">
        <f>'Fane 4. Ikke-påvirkelige omk.'!C14*(1+'Fane 10. Nøgletal'!C14)</f>
        <v>2498027.1408942267</v>
      </c>
      <c r="F15" s="43" t="s">
        <v>3</v>
      </c>
      <c r="G15" s="1"/>
    </row>
    <row r="16" spans="1:7" ht="15" customHeight="1" x14ac:dyDescent="0.45">
      <c r="A16" s="1"/>
      <c r="B16" s="42" t="s">
        <v>42</v>
      </c>
      <c r="C16" s="42"/>
      <c r="D16" s="42"/>
      <c r="E16" s="42"/>
      <c r="F16" s="42"/>
      <c r="G16" s="1"/>
    </row>
    <row r="17" spans="1:7" ht="15" customHeight="1" x14ac:dyDescent="0.45">
      <c r="A17" s="1"/>
      <c r="B17" s="29" t="s">
        <v>39</v>
      </c>
      <c r="C17" s="39"/>
      <c r="D17" s="39"/>
      <c r="E17" s="8">
        <f>'Fane 7.2. Engangstillæg'!C20</f>
        <v>0</v>
      </c>
      <c r="F17" s="39" t="s">
        <v>3</v>
      </c>
      <c r="G17" s="1"/>
    </row>
    <row r="18" spans="1:7" ht="15" customHeight="1" x14ac:dyDescent="0.45">
      <c r="A18" s="1"/>
      <c r="B18" s="29" t="s">
        <v>40</v>
      </c>
      <c r="C18" s="39"/>
      <c r="D18" s="39"/>
      <c r="E18" s="8">
        <f>'Fane 7.2. Engangstillæg'!E20</f>
        <v>0</v>
      </c>
      <c r="F18" s="39" t="s">
        <v>3</v>
      </c>
      <c r="G18" s="1"/>
    </row>
    <row r="19" spans="1:7" ht="15" customHeight="1" x14ac:dyDescent="0.45">
      <c r="A19" s="1"/>
      <c r="B19" s="53" t="s">
        <v>43</v>
      </c>
      <c r="C19" s="41"/>
      <c r="D19" s="41"/>
      <c r="E19" s="9">
        <f>SUM(E17:E18)</f>
        <v>0</v>
      </c>
      <c r="F19" s="43" t="s">
        <v>3</v>
      </c>
      <c r="G19" s="1"/>
    </row>
    <row r="20" spans="1:7" x14ac:dyDescent="0.45">
      <c r="A20" s="1"/>
      <c r="B20" s="42" t="s">
        <v>85</v>
      </c>
      <c r="C20" s="42"/>
      <c r="D20" s="42"/>
      <c r="E20" s="42"/>
      <c r="F20" s="42"/>
      <c r="G20" s="1"/>
    </row>
    <row r="21" spans="1:7" x14ac:dyDescent="0.45">
      <c r="A21" s="1"/>
      <c r="B21" s="43" t="s">
        <v>150</v>
      </c>
      <c r="C21" s="43"/>
      <c r="D21" s="43"/>
      <c r="E21" s="9">
        <f>'Fane 5. Kontrol af ØR2020'!E35</f>
        <v>0</v>
      </c>
      <c r="F21" s="43" t="s">
        <v>3</v>
      </c>
      <c r="G21" s="1"/>
    </row>
    <row r="22" spans="1:7" x14ac:dyDescent="0.45">
      <c r="A22" s="1"/>
      <c r="B22" s="42" t="s">
        <v>47</v>
      </c>
      <c r="C22" s="42"/>
      <c r="D22" s="42"/>
      <c r="E22" s="10">
        <f>SUM(E13,E15,E19,E21)</f>
        <v>8350235.8489049161</v>
      </c>
      <c r="F22" s="11" t="s">
        <v>3</v>
      </c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B47" s="1"/>
      <c r="C47" s="1"/>
      <c r="D47" s="1"/>
      <c r="E47" s="1"/>
      <c r="F47" s="1"/>
    </row>
    <row r="48" spans="1:7" x14ac:dyDescent="0.45">
      <c r="B48" s="1"/>
      <c r="C48" s="1"/>
      <c r="D48" s="1"/>
      <c r="E48" s="1"/>
      <c r="F48" s="1"/>
    </row>
  </sheetData>
  <sheetProtection algorithmName="SHA-512" hashValue="HbjDTXKfN/szT735QrBMluzD1dhaRJ+t/3m6FSLyZ7LA+f36xYXadBGllzLTFe4ZfesWoYlAVMdwVyaVzHcBTQ==" saltValue="2FoKZTBkpqS6YPiv2vU1uA==" spinCount="100000" sheet="1" objects="1" scenarios="1"/>
  <customSheetViews>
    <customSheetView guid="{61068CEC-D951-4EA8-B2F0-E3FAF0E2CE33}" showPageBreaks="1" showGridLines="0" hiddenColumns="1" view="pageLayout">
      <pageMargins left="0.7" right="0.7" top="0.75" bottom="0.75" header="0.3" footer="0.3"/>
      <pageSetup paperSize="9" orientation="portrait" r:id="rId1"/>
    </customSheetView>
  </customSheetViews>
  <mergeCells count="2">
    <mergeCell ref="B3:F4"/>
    <mergeCell ref="B5:F5"/>
  </mergeCells>
  <pageMargins left="0.7" right="0.7" top="0.75" bottom="0.75" header="0.3" footer="0.3"/>
  <pageSetup paperSize="9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51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3.1328125" style="2" customWidth="1"/>
    <col min="3" max="3" width="0" style="2" hidden="1" customWidth="1"/>
    <col min="4" max="4" width="27" style="2" hidden="1" customWidth="1"/>
    <col min="5" max="5" width="10.2656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3" t="s">
        <v>100</v>
      </c>
      <c r="C3" s="73"/>
      <c r="D3" s="73"/>
      <c r="E3" s="73"/>
      <c r="F3" s="73"/>
      <c r="G3" s="1"/>
    </row>
    <row r="4" spans="1:7" ht="15" customHeight="1" x14ac:dyDescent="0.45">
      <c r="A4" s="1"/>
      <c r="B4" s="73"/>
      <c r="C4" s="73"/>
      <c r="D4" s="73"/>
      <c r="E4" s="73"/>
      <c r="F4" s="73"/>
      <c r="G4" s="1"/>
    </row>
    <row r="5" spans="1:7" x14ac:dyDescent="0.45">
      <c r="A5" s="1"/>
      <c r="B5" s="74" t="s">
        <v>21</v>
      </c>
      <c r="C5" s="74"/>
      <c r="D5" s="74"/>
      <c r="E5" s="74"/>
      <c r="F5" s="74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42" t="s">
        <v>13</v>
      </c>
      <c r="C7" s="42"/>
      <c r="D7" s="42"/>
      <c r="E7" s="42"/>
      <c r="F7" s="42"/>
      <c r="G7" s="1"/>
    </row>
    <row r="8" spans="1:7" ht="15" customHeight="1" x14ac:dyDescent="0.45">
      <c r="A8" s="1"/>
      <c r="B8" s="39" t="s">
        <v>67</v>
      </c>
      <c r="C8" s="39"/>
      <c r="D8" s="39"/>
      <c r="E8" s="7">
        <f>'Fane 2.2. Økonomisk ramme 2023'!E13</f>
        <v>5852208.7080106894</v>
      </c>
      <c r="F8" s="39" t="s">
        <v>3</v>
      </c>
      <c r="G8" s="1"/>
    </row>
    <row r="9" spans="1:7" ht="15" customHeight="1" x14ac:dyDescent="0.45">
      <c r="A9" s="1"/>
      <c r="B9" s="39" t="s">
        <v>62</v>
      </c>
      <c r="C9" s="39"/>
      <c r="D9" s="39"/>
      <c r="E9" s="7">
        <f>-('Fane 9. Bortfald'!C24+'Fane 9. Bortfald'!E24)</f>
        <v>0</v>
      </c>
      <c r="F9" s="39" t="s">
        <v>3</v>
      </c>
      <c r="G9" s="1"/>
    </row>
    <row r="10" spans="1:7" ht="15" customHeight="1" x14ac:dyDescent="0.45">
      <c r="A10" s="1"/>
      <c r="B10" s="40" t="s">
        <v>18</v>
      </c>
      <c r="C10" s="39"/>
      <c r="D10" s="39"/>
      <c r="E10" s="8">
        <f>SUM(E8:E9)*'Fane 10. Nøgletal'!C14</f>
        <v>19312.288736435275</v>
      </c>
      <c r="F10" s="39" t="s">
        <v>3</v>
      </c>
      <c r="G10" s="1"/>
    </row>
    <row r="11" spans="1:7" ht="15" customHeight="1" x14ac:dyDescent="0.45">
      <c r="A11" s="1"/>
      <c r="B11" s="40" t="s">
        <v>54</v>
      </c>
      <c r="C11" s="39"/>
      <c r="D11" s="39"/>
      <c r="E11" s="8">
        <f>-SUM(E8:E10)*'Fane 10. Nøgletal'!C19</f>
        <v>-99815.856944701125</v>
      </c>
      <c r="F11" s="39" t="s">
        <v>3</v>
      </c>
      <c r="G11" s="1"/>
    </row>
    <row r="12" spans="1:7" x14ac:dyDescent="0.45">
      <c r="A12" s="1"/>
      <c r="B12" s="41" t="s">
        <v>20</v>
      </c>
      <c r="C12" s="41"/>
      <c r="D12" s="41"/>
      <c r="E12" s="9">
        <f>SUM(E8:E11)</f>
        <v>5771705.1398024242</v>
      </c>
      <c r="F12" s="43" t="s">
        <v>3</v>
      </c>
      <c r="G12" s="1"/>
    </row>
    <row r="13" spans="1:7" x14ac:dyDescent="0.45">
      <c r="A13" s="1"/>
      <c r="B13" s="42" t="s">
        <v>12</v>
      </c>
      <c r="C13" s="42"/>
      <c r="D13" s="42"/>
      <c r="E13" s="42"/>
      <c r="F13" s="42"/>
      <c r="G13" s="1"/>
    </row>
    <row r="14" spans="1:7" ht="15" customHeight="1" x14ac:dyDescent="0.45">
      <c r="A14" s="1"/>
      <c r="B14" s="43" t="s">
        <v>12</v>
      </c>
      <c r="C14" s="43"/>
      <c r="D14" s="43"/>
      <c r="E14" s="9">
        <f>'Fane 4. Ikke-påvirkelige omk.'!C14*(1+'Fane 10. Nøgletal'!C14)^2</f>
        <v>2506270.6304591778</v>
      </c>
      <c r="F14" s="43" t="s">
        <v>3</v>
      </c>
      <c r="G14" s="1"/>
    </row>
    <row r="15" spans="1:7" ht="15" customHeight="1" x14ac:dyDescent="0.45">
      <c r="A15" s="1"/>
      <c r="B15" s="42" t="s">
        <v>42</v>
      </c>
      <c r="C15" s="42"/>
      <c r="D15" s="42"/>
      <c r="E15" s="42"/>
      <c r="F15" s="42"/>
      <c r="G15" s="1"/>
    </row>
    <row r="16" spans="1:7" ht="15" customHeight="1" x14ac:dyDescent="0.45">
      <c r="A16" s="1"/>
      <c r="B16" s="29" t="s">
        <v>39</v>
      </c>
      <c r="C16" s="39"/>
      <c r="D16" s="39"/>
      <c r="E16" s="8">
        <f>'Fane 7.2. Engangstillæg'!C27</f>
        <v>0</v>
      </c>
      <c r="F16" s="39" t="s">
        <v>3</v>
      </c>
      <c r="G16" s="1"/>
    </row>
    <row r="17" spans="1:7" ht="15" customHeight="1" x14ac:dyDescent="0.45">
      <c r="A17" s="1"/>
      <c r="B17" s="29" t="s">
        <v>40</v>
      </c>
      <c r="C17" s="39"/>
      <c r="D17" s="39"/>
      <c r="E17" s="8">
        <f>'Fane 7.2. Engangstillæg'!E27</f>
        <v>0</v>
      </c>
      <c r="F17" s="39" t="s">
        <v>3</v>
      </c>
      <c r="G17" s="1"/>
    </row>
    <row r="18" spans="1:7" ht="15" customHeight="1" x14ac:dyDescent="0.45">
      <c r="A18" s="1"/>
      <c r="B18" s="53" t="s">
        <v>43</v>
      </c>
      <c r="C18" s="41"/>
      <c r="D18" s="41"/>
      <c r="E18" s="9">
        <f>SUM(E16:E17)</f>
        <v>0</v>
      </c>
      <c r="F18" s="43" t="s">
        <v>3</v>
      </c>
      <c r="G18" s="1"/>
    </row>
    <row r="19" spans="1:7" ht="15" customHeight="1" x14ac:dyDescent="0.45">
      <c r="A19" s="1"/>
      <c r="B19" s="42" t="s">
        <v>85</v>
      </c>
      <c r="C19" s="42"/>
      <c r="D19" s="42"/>
      <c r="E19" s="42"/>
      <c r="F19" s="42"/>
      <c r="G19" s="1"/>
    </row>
    <row r="20" spans="1:7" ht="15" customHeight="1" x14ac:dyDescent="0.45">
      <c r="A20" s="1"/>
      <c r="B20" s="43" t="s">
        <v>86</v>
      </c>
      <c r="C20" s="43"/>
      <c r="D20" s="43"/>
      <c r="E20" s="9">
        <f>'Fane 5. Kontrol af ØR2020'!E35</f>
        <v>0</v>
      </c>
      <c r="F20" s="43" t="s">
        <v>3</v>
      </c>
      <c r="G20" s="1"/>
    </row>
    <row r="21" spans="1:7" x14ac:dyDescent="0.45">
      <c r="A21" s="1"/>
      <c r="B21" s="42" t="s">
        <v>68</v>
      </c>
      <c r="C21" s="42"/>
      <c r="D21" s="42"/>
      <c r="E21" s="10">
        <f>SUM(E12,E14,E18,E20)</f>
        <v>8277975.7702616025</v>
      </c>
      <c r="F21" s="11" t="s">
        <v>3</v>
      </c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  <row r="50" spans="1:7" x14ac:dyDescent="0.45">
      <c r="B50" s="1"/>
      <c r="C50" s="1"/>
      <c r="D50" s="1"/>
      <c r="E50" s="1"/>
      <c r="F50" s="1"/>
    </row>
    <row r="51" spans="1:7" x14ac:dyDescent="0.45">
      <c r="B51" s="1"/>
      <c r="C51" s="1"/>
      <c r="D51" s="1"/>
      <c r="E51" s="1"/>
      <c r="F51" s="1"/>
    </row>
  </sheetData>
  <sheetProtection algorithmName="SHA-512" hashValue="6OK0fEt27nHglJZu4hSiPq7QLOGFaZcC20yVIgKUgtT4TAr+pW3VJk2aqYw4aCL2NGGmxHCKLq1Xr/1mJ4VoJQ==" saltValue="0N0sGL+nVh6QRE3aTZH2wQ==" spinCount="100000" sheet="1" objects="1" scenarios="1"/>
  <customSheetViews>
    <customSheetView guid="{61068CEC-D951-4EA8-B2F0-E3FAF0E2CE33}" showPageBreaks="1" showGridLines="0" hiddenColumns="1" view="pageLayout">
      <pageMargins left="0.7" right="0.7" top="0.75" bottom="0.75" header="0.3" footer="0.3"/>
      <pageSetup paperSize="9" orientation="portrait" r:id="rId1"/>
    </customSheetView>
  </customSheetViews>
  <mergeCells count="2">
    <mergeCell ref="B3:F4"/>
    <mergeCell ref="B5:F5"/>
  </mergeCells>
  <pageMargins left="0.7" right="0.7" top="0.75" bottom="0.75" header="0.3" footer="0.3"/>
  <pageSetup paperSize="9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G51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3.1328125" style="2" customWidth="1"/>
    <col min="3" max="3" width="0" style="2" hidden="1" customWidth="1"/>
    <col min="4" max="4" width="27" style="2" hidden="1" customWidth="1"/>
    <col min="5" max="5" width="10.2656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3" t="s">
        <v>102</v>
      </c>
      <c r="C3" s="73"/>
      <c r="D3" s="73"/>
      <c r="E3" s="73"/>
      <c r="F3" s="73"/>
      <c r="G3" s="1"/>
    </row>
    <row r="4" spans="1:7" ht="15" customHeight="1" x14ac:dyDescent="0.45">
      <c r="A4" s="1"/>
      <c r="B4" s="73"/>
      <c r="C4" s="73"/>
      <c r="D4" s="73"/>
      <c r="E4" s="73"/>
      <c r="F4" s="73"/>
      <c r="G4" s="1"/>
    </row>
    <row r="5" spans="1:7" x14ac:dyDescent="0.45">
      <c r="A5" s="1"/>
      <c r="B5" s="74" t="s">
        <v>21</v>
      </c>
      <c r="C5" s="74"/>
      <c r="D5" s="74"/>
      <c r="E5" s="74"/>
      <c r="F5" s="74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42" t="s">
        <v>13</v>
      </c>
      <c r="C7" s="42"/>
      <c r="D7" s="42"/>
      <c r="E7" s="42"/>
      <c r="F7" s="42"/>
      <c r="G7" s="1"/>
    </row>
    <row r="8" spans="1:7" ht="15" customHeight="1" x14ac:dyDescent="0.45">
      <c r="A8" s="1"/>
      <c r="B8" s="39" t="s">
        <v>103</v>
      </c>
      <c r="C8" s="39"/>
      <c r="D8" s="39"/>
      <c r="E8" s="7">
        <f>'Fane 2.3. Økonomisk ramme 2024'!E12</f>
        <v>5771705.1398024242</v>
      </c>
      <c r="F8" s="39" t="s">
        <v>3</v>
      </c>
      <c r="G8" s="1"/>
    </row>
    <row r="9" spans="1:7" ht="15" customHeight="1" x14ac:dyDescent="0.45">
      <c r="A9" s="1"/>
      <c r="B9" s="39" t="s">
        <v>62</v>
      </c>
      <c r="C9" s="39"/>
      <c r="D9" s="39"/>
      <c r="E9" s="7">
        <f>-('Fane 9. Bortfald'!C30+'Fane 9. Bortfald'!E30)</f>
        <v>0</v>
      </c>
      <c r="F9" s="39" t="s">
        <v>3</v>
      </c>
      <c r="G9" s="1"/>
    </row>
    <row r="10" spans="1:7" ht="15" customHeight="1" x14ac:dyDescent="0.45">
      <c r="A10" s="1"/>
      <c r="B10" s="40" t="s">
        <v>18</v>
      </c>
      <c r="C10" s="39"/>
      <c r="D10" s="39"/>
      <c r="E10" s="8">
        <f>SUM(E8:E9)*'Fane 10. Nøgletal'!C14</f>
        <v>19046.626961348</v>
      </c>
      <c r="F10" s="39" t="s">
        <v>3</v>
      </c>
      <c r="G10" s="1"/>
    </row>
    <row r="11" spans="1:7" ht="15" customHeight="1" x14ac:dyDescent="0.45">
      <c r="A11" s="1"/>
      <c r="B11" s="40" t="s">
        <v>54</v>
      </c>
      <c r="C11" s="39"/>
      <c r="D11" s="39"/>
      <c r="E11" s="8">
        <f>-SUM(E8:E10)*'Fane 10. Nøgletal'!C19</f>
        <v>-98442.780034984127</v>
      </c>
      <c r="F11" s="39" t="s">
        <v>3</v>
      </c>
      <c r="G11" s="1"/>
    </row>
    <row r="12" spans="1:7" x14ac:dyDescent="0.45">
      <c r="A12" s="1"/>
      <c r="B12" s="41" t="s">
        <v>20</v>
      </c>
      <c r="C12" s="41"/>
      <c r="D12" s="41"/>
      <c r="E12" s="9">
        <f>SUM(E8:E11)</f>
        <v>5692308.9867287874</v>
      </c>
      <c r="F12" s="43" t="s">
        <v>3</v>
      </c>
      <c r="G12" s="1"/>
    </row>
    <row r="13" spans="1:7" x14ac:dyDescent="0.45">
      <c r="A13" s="1"/>
      <c r="B13" s="42" t="s">
        <v>12</v>
      </c>
      <c r="C13" s="42"/>
      <c r="D13" s="42"/>
      <c r="E13" s="42"/>
      <c r="F13" s="42"/>
      <c r="G13" s="1"/>
    </row>
    <row r="14" spans="1:7" ht="15" customHeight="1" x14ac:dyDescent="0.45">
      <c r="A14" s="1"/>
      <c r="B14" s="43" t="s">
        <v>12</v>
      </c>
      <c r="C14" s="43"/>
      <c r="D14" s="43"/>
      <c r="E14" s="9">
        <f>'Fane 4. Ikke-påvirkelige omk.'!C14*(1+'Fane 10. Nøgletal'!C14)^3</f>
        <v>2514541.3235396934</v>
      </c>
      <c r="F14" s="43" t="s">
        <v>3</v>
      </c>
      <c r="G14" s="1"/>
    </row>
    <row r="15" spans="1:7" ht="15" customHeight="1" x14ac:dyDescent="0.45">
      <c r="A15" s="1"/>
      <c r="B15" s="42" t="s">
        <v>42</v>
      </c>
      <c r="C15" s="42"/>
      <c r="D15" s="42"/>
      <c r="E15" s="42"/>
      <c r="F15" s="42"/>
      <c r="G15" s="1"/>
    </row>
    <row r="16" spans="1:7" ht="15" customHeight="1" x14ac:dyDescent="0.45">
      <c r="A16" s="1"/>
      <c r="B16" s="29" t="s">
        <v>39</v>
      </c>
      <c r="C16" s="39"/>
      <c r="D16" s="39"/>
      <c r="E16" s="8">
        <f>'Fane 7.2. Engangstillæg'!C34</f>
        <v>0</v>
      </c>
      <c r="F16" s="39" t="s">
        <v>3</v>
      </c>
      <c r="G16" s="1"/>
    </row>
    <row r="17" spans="1:7" ht="15" customHeight="1" x14ac:dyDescent="0.45">
      <c r="A17" s="1"/>
      <c r="B17" s="29" t="s">
        <v>40</v>
      </c>
      <c r="C17" s="39"/>
      <c r="D17" s="39"/>
      <c r="E17" s="8">
        <f>'Fane 7.2. Engangstillæg'!E34</f>
        <v>0</v>
      </c>
      <c r="F17" s="39" t="s">
        <v>3</v>
      </c>
      <c r="G17" s="1"/>
    </row>
    <row r="18" spans="1:7" ht="15" customHeight="1" x14ac:dyDescent="0.45">
      <c r="A18" s="1"/>
      <c r="B18" s="53" t="s">
        <v>43</v>
      </c>
      <c r="C18" s="41"/>
      <c r="D18" s="41"/>
      <c r="E18" s="9">
        <f>SUM(E16:E17)</f>
        <v>0</v>
      </c>
      <c r="F18" s="43" t="s">
        <v>3</v>
      </c>
      <c r="G18" s="1"/>
    </row>
    <row r="19" spans="1:7" ht="15" customHeight="1" x14ac:dyDescent="0.45">
      <c r="A19" s="1"/>
      <c r="B19" s="42" t="s">
        <v>85</v>
      </c>
      <c r="C19" s="42"/>
      <c r="D19" s="42"/>
      <c r="E19" s="42"/>
      <c r="F19" s="42"/>
      <c r="G19" s="1"/>
    </row>
    <row r="20" spans="1:7" ht="15" customHeight="1" x14ac:dyDescent="0.45">
      <c r="A20" s="1"/>
      <c r="B20" s="43" t="s">
        <v>86</v>
      </c>
      <c r="C20" s="43"/>
      <c r="D20" s="43"/>
      <c r="E20" s="9">
        <f>'Fane 5. Kontrol af ØR2020'!E35</f>
        <v>0</v>
      </c>
      <c r="F20" s="43" t="s">
        <v>3</v>
      </c>
      <c r="G20" s="1"/>
    </row>
    <row r="21" spans="1:7" x14ac:dyDescent="0.45">
      <c r="A21" s="1"/>
      <c r="B21" s="42" t="s">
        <v>104</v>
      </c>
      <c r="C21" s="42"/>
      <c r="D21" s="42"/>
      <c r="E21" s="10">
        <f>SUM(E12,E14,E18,E20)</f>
        <v>8206850.3102684803</v>
      </c>
      <c r="F21" s="11" t="s">
        <v>3</v>
      </c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  <row r="50" spans="1:7" x14ac:dyDescent="0.45">
      <c r="B50" s="1"/>
      <c r="C50" s="1"/>
      <c r="D50" s="1"/>
      <c r="E50" s="1"/>
      <c r="F50" s="1"/>
    </row>
    <row r="51" spans="1:7" x14ac:dyDescent="0.45">
      <c r="B51" s="1"/>
      <c r="C51" s="1"/>
      <c r="D51" s="1"/>
      <c r="E51" s="1"/>
      <c r="F51" s="1"/>
    </row>
  </sheetData>
  <sheetProtection algorithmName="SHA-512" hashValue="dO/XGppIwqm8c+j2rlC/DFAM34MboUrsKB8XIP8KpwwVzdkdqfGIBKdrnevKWtVYt13CiFr/u7jt/0hRBT8xLg==" saltValue="RR1NHEvjcHbqb0BcrWvFRg==" spinCount="100000" sheet="1" objects="1" scenarios="1"/>
  <customSheetViews>
    <customSheetView guid="{61068CEC-D951-4EA8-B2F0-E3FAF0E2CE33}" showPageBreaks="1" showGridLines="0" hiddenColumns="1" view="pageLayout">
      <pageMargins left="0.7" right="0.7" top="0.75" bottom="0.75" header="0.3" footer="0.3"/>
      <pageSetup paperSize="9" orientation="portrait" r:id="rId1"/>
    </customSheetView>
  </customSheetViews>
  <mergeCells count="2">
    <mergeCell ref="B3:F4"/>
    <mergeCell ref="B5:F5"/>
  </mergeCells>
  <pageMargins left="0.7" right="0.7" top="0.75" bottom="0.75" header="0.3" footer="0.3"/>
  <pageSetup paperSize="9"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4"/>
  <sheetViews>
    <sheetView showGridLines="0" view="pageLayout" zoomScaleNormal="100" workbookViewId="0"/>
  </sheetViews>
  <sheetFormatPr defaultColWidth="9.1328125" defaultRowHeight="14.25" x14ac:dyDescent="0.45"/>
  <cols>
    <col min="1" max="1" width="7.86328125" style="2" customWidth="1"/>
    <col min="2" max="3" width="9.1328125" style="2"/>
    <col min="4" max="4" width="39.86328125" style="2" customWidth="1"/>
    <col min="5" max="5" width="9.59765625" style="2" bestFit="1" customWidth="1"/>
    <col min="6" max="6" width="3.59765625" style="2" bestFit="1" customWidth="1"/>
    <col min="7" max="7" width="7.86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86" t="s">
        <v>105</v>
      </c>
      <c r="C3" s="86"/>
      <c r="D3" s="86"/>
      <c r="E3" s="86"/>
      <c r="F3" s="86"/>
      <c r="G3" s="1"/>
    </row>
    <row r="4" spans="1:7" ht="29.25" customHeight="1" x14ac:dyDescent="0.45">
      <c r="A4" s="1"/>
      <c r="B4" s="86"/>
      <c r="C4" s="86"/>
      <c r="D4" s="86"/>
      <c r="E4" s="86"/>
      <c r="F4" s="86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42" t="s">
        <v>126</v>
      </c>
      <c r="C8" s="42"/>
      <c r="D8" s="42"/>
      <c r="E8" s="42"/>
      <c r="F8" s="42"/>
      <c r="G8" s="1"/>
    </row>
    <row r="9" spans="1:7" x14ac:dyDescent="0.45">
      <c r="A9" s="1"/>
      <c r="B9" s="87" t="s">
        <v>23</v>
      </c>
      <c r="C9" s="87"/>
      <c r="D9" s="87"/>
      <c r="E9" s="7">
        <v>5953575.7510367418</v>
      </c>
      <c r="F9" s="39" t="s">
        <v>3</v>
      </c>
      <c r="G9" s="1"/>
    </row>
    <row r="10" spans="1:7" x14ac:dyDescent="0.45">
      <c r="A10" s="1"/>
      <c r="B10" s="76" t="s">
        <v>128</v>
      </c>
      <c r="C10" s="76"/>
      <c r="D10" s="76"/>
      <c r="E10" s="7">
        <v>40134.91344276099</v>
      </c>
      <c r="F10" s="39" t="s">
        <v>3</v>
      </c>
      <c r="G10" s="1"/>
    </row>
    <row r="11" spans="1:7" x14ac:dyDescent="0.45">
      <c r="A11" s="1"/>
      <c r="B11" s="76" t="s">
        <v>60</v>
      </c>
      <c r="C11" s="76"/>
      <c r="D11" s="76"/>
      <c r="E11" s="7">
        <v>0</v>
      </c>
      <c r="F11" s="39" t="s">
        <v>3</v>
      </c>
      <c r="G11" s="1"/>
    </row>
    <row r="12" spans="1:7" x14ac:dyDescent="0.45">
      <c r="A12" s="1"/>
      <c r="B12" s="76" t="s">
        <v>65</v>
      </c>
      <c r="C12" s="76"/>
      <c r="D12" s="76"/>
      <c r="E12" s="7">
        <v>0</v>
      </c>
      <c r="F12" s="39" t="s">
        <v>3</v>
      </c>
      <c r="G12" s="1"/>
    </row>
    <row r="13" spans="1:7" x14ac:dyDescent="0.45">
      <c r="A13" s="1"/>
      <c r="B13" s="76" t="s">
        <v>61</v>
      </c>
      <c r="C13" s="76"/>
      <c r="D13" s="76"/>
      <c r="E13" s="8">
        <v>0</v>
      </c>
      <c r="F13" s="39" t="s">
        <v>3</v>
      </c>
      <c r="G13" s="1"/>
    </row>
    <row r="14" spans="1:7" x14ac:dyDescent="0.45">
      <c r="A14" s="1"/>
      <c r="B14" s="76" t="s">
        <v>18</v>
      </c>
      <c r="C14" s="76"/>
      <c r="D14" s="76"/>
      <c r="E14" s="8">
        <f>SUM(E9:E13)*'Fane 10. Nøgletal'!C13</f>
        <v>73123.270106649928</v>
      </c>
      <c r="F14" s="39" t="s">
        <v>3</v>
      </c>
      <c r="G14" s="1"/>
    </row>
    <row r="15" spans="1:7" x14ac:dyDescent="0.45">
      <c r="A15" s="1"/>
      <c r="B15" s="76" t="s">
        <v>54</v>
      </c>
      <c r="C15" s="76"/>
      <c r="D15" s="76"/>
      <c r="E15" s="8">
        <f>-SUM(E9:E14)*'Fane 10. Nøgletal'!C19</f>
        <v>-103136.1768879646</v>
      </c>
      <c r="F15" s="39" t="s">
        <v>3</v>
      </c>
      <c r="G15" s="1"/>
    </row>
    <row r="16" spans="1:7" x14ac:dyDescent="0.45">
      <c r="A16" s="1"/>
      <c r="B16" s="77" t="s">
        <v>20</v>
      </c>
      <c r="C16" s="77"/>
      <c r="D16" s="77"/>
      <c r="E16" s="9">
        <f>SUM(E9:E15)</f>
        <v>5963697.7576981876</v>
      </c>
      <c r="F16" s="43" t="s">
        <v>3</v>
      </c>
      <c r="G16" s="1"/>
    </row>
    <row r="17" spans="1:7" x14ac:dyDescent="0.45">
      <c r="A17" s="1"/>
      <c r="B17" s="78" t="s">
        <v>12</v>
      </c>
      <c r="C17" s="78"/>
      <c r="D17" s="78"/>
      <c r="E17" s="42"/>
      <c r="F17" s="42"/>
      <c r="G17" s="1"/>
    </row>
    <row r="18" spans="1:7" x14ac:dyDescent="0.45">
      <c r="A18" s="1"/>
      <c r="B18" s="79" t="s">
        <v>12</v>
      </c>
      <c r="C18" s="79"/>
      <c r="D18" s="79"/>
      <c r="E18" s="9">
        <v>2313660.6071053785</v>
      </c>
      <c r="F18" s="43" t="s">
        <v>3</v>
      </c>
      <c r="G18" s="1"/>
    </row>
    <row r="19" spans="1:7" ht="15.4" customHeight="1" x14ac:dyDescent="0.45">
      <c r="A19" s="1"/>
      <c r="B19" s="42" t="s">
        <v>42</v>
      </c>
      <c r="C19" s="42"/>
      <c r="D19" s="42"/>
      <c r="E19" s="42"/>
      <c r="F19" s="42"/>
      <c r="G19" s="1"/>
    </row>
    <row r="20" spans="1:7" ht="15.75" customHeight="1" x14ac:dyDescent="0.45">
      <c r="A20" s="1"/>
      <c r="B20" s="80" t="s">
        <v>39</v>
      </c>
      <c r="C20" s="81"/>
      <c r="D20" s="82"/>
      <c r="E20" s="37">
        <v>0</v>
      </c>
      <c r="F20" s="32" t="s">
        <v>3</v>
      </c>
      <c r="G20" s="1"/>
    </row>
    <row r="21" spans="1:7" x14ac:dyDescent="0.45">
      <c r="A21" s="1"/>
      <c r="B21" s="80" t="s">
        <v>40</v>
      </c>
      <c r="C21" s="81"/>
      <c r="D21" s="82"/>
      <c r="E21" s="37">
        <v>0</v>
      </c>
      <c r="F21" s="32" t="s">
        <v>3</v>
      </c>
      <c r="G21" s="1"/>
    </row>
    <row r="22" spans="1:7" x14ac:dyDescent="0.45">
      <c r="A22" s="1"/>
      <c r="B22" s="83" t="s">
        <v>43</v>
      </c>
      <c r="C22" s="84"/>
      <c r="D22" s="85"/>
      <c r="E22" s="9">
        <v>0</v>
      </c>
      <c r="F22" s="9" t="s">
        <v>3</v>
      </c>
      <c r="G22" s="1"/>
    </row>
    <row r="23" spans="1:7" ht="15.75" customHeight="1" x14ac:dyDescent="0.45">
      <c r="A23" s="1"/>
      <c r="B23" s="42" t="s">
        <v>85</v>
      </c>
      <c r="C23" s="42"/>
      <c r="D23" s="42"/>
      <c r="E23" s="42"/>
      <c r="F23" s="42"/>
      <c r="G23" s="1"/>
    </row>
    <row r="24" spans="1:7" x14ac:dyDescent="0.45">
      <c r="A24" s="1"/>
      <c r="B24" s="53" t="s">
        <v>31</v>
      </c>
      <c r="C24" s="41"/>
      <c r="D24" s="41"/>
      <c r="E24" s="9">
        <v>-2204346.6219260502</v>
      </c>
      <c r="F24" s="43" t="s">
        <v>3</v>
      </c>
      <c r="G24" s="1"/>
    </row>
    <row r="25" spans="1:7" x14ac:dyDescent="0.45">
      <c r="A25" s="1"/>
      <c r="B25" s="53" t="s">
        <v>86</v>
      </c>
      <c r="C25" s="41"/>
      <c r="D25" s="41"/>
      <c r="E25" s="9">
        <v>0</v>
      </c>
      <c r="F25" s="43" t="s">
        <v>3</v>
      </c>
      <c r="G25" s="1"/>
    </row>
    <row r="26" spans="1:7" ht="15" customHeight="1" x14ac:dyDescent="0.45">
      <c r="A26" s="1"/>
      <c r="B26" s="42" t="s">
        <v>25</v>
      </c>
      <c r="C26" s="42"/>
      <c r="D26" s="42"/>
      <c r="E26" s="10">
        <f>E16+E18+E22+E24+E25</f>
        <v>6073011.742877515</v>
      </c>
      <c r="F26" s="11" t="s">
        <v>3</v>
      </c>
      <c r="G26" s="1"/>
    </row>
    <row r="27" spans="1:7" ht="27" customHeight="1" x14ac:dyDescent="0.45">
      <c r="A27" s="1"/>
      <c r="B27" s="75" t="s">
        <v>120</v>
      </c>
      <c r="C27" s="75"/>
      <c r="D27" s="75"/>
      <c r="E27" s="75"/>
      <c r="F27" s="75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  <row r="50" spans="1:7" x14ac:dyDescent="0.45">
      <c r="A50" s="1"/>
      <c r="B50" s="1"/>
      <c r="C50" s="1"/>
      <c r="D50" s="1"/>
      <c r="E50" s="1"/>
      <c r="F50" s="1"/>
      <c r="G50" s="1"/>
    </row>
    <row r="51" spans="1:7" x14ac:dyDescent="0.45">
      <c r="A51" s="1"/>
      <c r="B51" s="1"/>
      <c r="C51" s="1"/>
      <c r="D51" s="1"/>
      <c r="E51" s="1"/>
      <c r="F51" s="1"/>
      <c r="G51" s="1"/>
    </row>
    <row r="52" spans="1:7" x14ac:dyDescent="0.45">
      <c r="A52" s="1"/>
      <c r="B52" s="1"/>
      <c r="C52" s="1"/>
      <c r="D52" s="1"/>
      <c r="E52" s="1"/>
      <c r="F52" s="1"/>
      <c r="G52" s="1"/>
    </row>
    <row r="53" spans="1:7" x14ac:dyDescent="0.45">
      <c r="A53" s="1"/>
      <c r="B53" s="1"/>
      <c r="C53" s="1"/>
      <c r="D53" s="1"/>
      <c r="E53" s="1"/>
      <c r="F53" s="1"/>
      <c r="G53" s="1"/>
    </row>
    <row r="54" spans="1:7" x14ac:dyDescent="0.45">
      <c r="B54" s="1"/>
      <c r="C54" s="1"/>
      <c r="D54" s="1"/>
      <c r="E54" s="1"/>
      <c r="F54" s="1"/>
    </row>
  </sheetData>
  <sheetProtection algorithmName="SHA-512" hashValue="BJAsVLU/GcwifL/FzM7lDlhvhi2Q8ZGdMtEu9yZ/DL5D1ya2e2LfCJn/6/2Y7wxHKd1lZY+zT5FyJl0hdjxlOg==" saltValue="KoZmvsLQmzHiItCZzGuFTQ==" spinCount="100000" sheet="1" objects="1" scenarios="1"/>
  <customSheetViews>
    <customSheetView guid="{61068CEC-D951-4EA8-B2F0-E3FAF0E2CE33}" showPageBreaks="1" showGridLines="0" view="pageLayout" topLeftCell="A7">
      <selection activeCell="E15" sqref="E15"/>
      <pageMargins left="0.7" right="0.7" top="0.75" bottom="0.75" header="0.3" footer="0.3"/>
      <pageSetup paperSize="9" orientation="portrait" r:id="rId1"/>
    </customSheetView>
  </customSheetViews>
  <mergeCells count="15">
    <mergeCell ref="B3:F4"/>
    <mergeCell ref="B9:D9"/>
    <mergeCell ref="B11:D11"/>
    <mergeCell ref="B13:D13"/>
    <mergeCell ref="B14:D14"/>
    <mergeCell ref="B10:D10"/>
    <mergeCell ref="B12:D12"/>
    <mergeCell ref="B27:F27"/>
    <mergeCell ref="B15:D15"/>
    <mergeCell ref="B16:D16"/>
    <mergeCell ref="B17:D17"/>
    <mergeCell ref="B18:D18"/>
    <mergeCell ref="B20:D20"/>
    <mergeCell ref="B21:D21"/>
    <mergeCell ref="B22:D22"/>
  </mergeCells>
  <pageMargins left="0.7" right="0.7" top="0.75" bottom="0.75" header="0.3" footer="0.3"/>
  <pageSetup paperSize="9" orientation="portrait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0"/>
  <sheetViews>
    <sheetView showGridLines="0" view="pageLayout" zoomScaleNormal="100" workbookViewId="0"/>
  </sheetViews>
  <sheetFormatPr defaultColWidth="9.1328125" defaultRowHeight="14.25" x14ac:dyDescent="0.45"/>
  <cols>
    <col min="1" max="1" width="8.1328125" style="2" customWidth="1"/>
    <col min="2" max="2" width="37.73046875" style="2" customWidth="1"/>
    <col min="3" max="3" width="24.86328125" style="2" customWidth="1"/>
    <col min="4" max="4" width="3.265625" style="2" customWidth="1"/>
    <col min="5" max="5" width="7.86328125" style="2" customWidth="1"/>
    <col min="6" max="6" width="4" style="2" customWidth="1"/>
    <col min="7" max="16384" width="9.1328125" style="2"/>
  </cols>
  <sheetData>
    <row r="1" spans="1:6" x14ac:dyDescent="0.45">
      <c r="A1" s="1"/>
      <c r="B1" s="1"/>
      <c r="C1" s="1"/>
      <c r="D1" s="1"/>
      <c r="E1" s="1"/>
      <c r="F1" s="1"/>
    </row>
    <row r="2" spans="1:6" x14ac:dyDescent="0.45">
      <c r="A2" s="1"/>
      <c r="B2" s="1"/>
      <c r="C2" s="1"/>
      <c r="D2" s="1"/>
      <c r="E2" s="1"/>
      <c r="F2" s="1"/>
    </row>
    <row r="3" spans="1:6" ht="15" customHeight="1" x14ac:dyDescent="0.45">
      <c r="A3" s="1"/>
      <c r="B3" s="73" t="s">
        <v>53</v>
      </c>
      <c r="C3" s="73"/>
      <c r="D3" s="73"/>
      <c r="E3" s="1"/>
      <c r="F3" s="1"/>
    </row>
    <row r="4" spans="1:6" ht="15" customHeight="1" x14ac:dyDescent="0.45">
      <c r="A4" s="1"/>
      <c r="B4" s="73"/>
      <c r="C4" s="73"/>
      <c r="D4" s="73"/>
      <c r="E4" s="1"/>
      <c r="F4" s="1"/>
    </row>
    <row r="5" spans="1:6" x14ac:dyDescent="0.45">
      <c r="A5" s="1"/>
      <c r="B5" s="1"/>
      <c r="C5" s="1"/>
      <c r="D5" s="1"/>
      <c r="E5" s="1"/>
      <c r="F5" s="1"/>
    </row>
    <row r="6" spans="1:6" x14ac:dyDescent="0.45">
      <c r="A6" s="1"/>
      <c r="B6" s="1"/>
      <c r="C6" s="1"/>
      <c r="D6" s="1"/>
      <c r="E6" s="1"/>
      <c r="F6" s="1"/>
    </row>
    <row r="7" spans="1:6" x14ac:dyDescent="0.45">
      <c r="A7" s="1"/>
      <c r="B7" s="1"/>
      <c r="C7" s="1"/>
      <c r="D7" s="1"/>
      <c r="E7" s="1"/>
      <c r="F7" s="1"/>
    </row>
    <row r="8" spans="1:6" x14ac:dyDescent="0.45">
      <c r="A8" s="1"/>
      <c r="B8" s="88" t="s">
        <v>107</v>
      </c>
      <c r="C8" s="89"/>
      <c r="D8" s="90"/>
      <c r="E8" s="1"/>
      <c r="F8" s="1"/>
    </row>
    <row r="9" spans="1:6" ht="15" customHeight="1" x14ac:dyDescent="0.45">
      <c r="A9" s="1"/>
      <c r="B9" s="17" t="s">
        <v>29</v>
      </c>
      <c r="C9" s="43" t="s">
        <v>106</v>
      </c>
      <c r="D9" s="43"/>
      <c r="E9" s="1"/>
      <c r="F9" s="1"/>
    </row>
    <row r="10" spans="1:6" x14ac:dyDescent="0.45">
      <c r="A10" s="1"/>
      <c r="B10" s="28" t="s">
        <v>130</v>
      </c>
      <c r="C10" s="8">
        <v>2444022</v>
      </c>
      <c r="D10" s="12" t="s">
        <v>3</v>
      </c>
      <c r="E10" s="1"/>
      <c r="F10" s="1"/>
    </row>
    <row r="11" spans="1:6" x14ac:dyDescent="0.45">
      <c r="A11" s="1"/>
      <c r="B11" s="28" t="s">
        <v>131</v>
      </c>
      <c r="C11" s="8">
        <v>15324</v>
      </c>
      <c r="D11" s="12" t="s">
        <v>3</v>
      </c>
      <c r="E11" s="1"/>
      <c r="F11" s="1"/>
    </row>
    <row r="12" spans="1:6" x14ac:dyDescent="0.45">
      <c r="A12" s="1"/>
      <c r="B12" s="28" t="s">
        <v>132</v>
      </c>
      <c r="C12" s="8">
        <v>14113</v>
      </c>
      <c r="D12" s="12" t="s">
        <v>3</v>
      </c>
      <c r="E12" s="1"/>
      <c r="F12" s="1"/>
    </row>
    <row r="13" spans="1:6" x14ac:dyDescent="0.45">
      <c r="A13" s="1"/>
      <c r="B13" s="56" t="s">
        <v>108</v>
      </c>
      <c r="C13" s="10">
        <f>SUM(C10:C12)</f>
        <v>2473459</v>
      </c>
      <c r="D13" s="11" t="s">
        <v>3</v>
      </c>
      <c r="E13" s="1"/>
      <c r="F13" s="1"/>
    </row>
    <row r="14" spans="1:6" x14ac:dyDescent="0.45">
      <c r="A14" s="1"/>
      <c r="B14" s="56" t="s">
        <v>109</v>
      </c>
      <c r="C14" s="10">
        <f>C13*(1+'Fane 10. Nøgletal'!C14)^2</f>
        <v>2489810.7653685105</v>
      </c>
      <c r="D14" s="11" t="s">
        <v>3</v>
      </c>
      <c r="E14" s="1"/>
      <c r="F14" s="1"/>
    </row>
    <row r="15" spans="1:6" x14ac:dyDescent="0.45">
      <c r="A15" s="1"/>
      <c r="B15" s="14"/>
      <c r="C15" s="13"/>
      <c r="D15" s="13"/>
      <c r="E15" s="1"/>
      <c r="F15" s="1"/>
    </row>
    <row r="16" spans="1:6" x14ac:dyDescent="0.45">
      <c r="A16" s="1"/>
      <c r="B16" s="14"/>
      <c r="C16" s="13"/>
      <c r="D16" s="13"/>
      <c r="E16" s="1"/>
      <c r="F16" s="1"/>
    </row>
    <row r="17" spans="1:6" x14ac:dyDescent="0.45">
      <c r="A17" s="1"/>
      <c r="B17" s="1"/>
      <c r="C17" s="1"/>
      <c r="D17" s="1"/>
      <c r="E17" s="1"/>
      <c r="F17" s="1"/>
    </row>
    <row r="18" spans="1:6" x14ac:dyDescent="0.45">
      <c r="A18" s="1"/>
      <c r="B18" s="1"/>
      <c r="C18" s="1"/>
      <c r="D18" s="1"/>
      <c r="E18" s="1"/>
      <c r="F18" s="1"/>
    </row>
    <row r="19" spans="1:6" x14ac:dyDescent="0.45">
      <c r="A19" s="1"/>
      <c r="B19" s="1"/>
      <c r="C19" s="1"/>
      <c r="D19" s="1"/>
      <c r="E19" s="1"/>
      <c r="F19" s="1"/>
    </row>
    <row r="20" spans="1:6" x14ac:dyDescent="0.45">
      <c r="A20" s="1"/>
      <c r="B20" s="1"/>
      <c r="C20" s="1"/>
      <c r="D20" s="1"/>
      <c r="E20" s="1"/>
      <c r="F20" s="1"/>
    </row>
    <row r="21" spans="1:6" x14ac:dyDescent="0.45">
      <c r="A21" s="1"/>
      <c r="B21" s="1"/>
      <c r="C21" s="1"/>
      <c r="D21" s="1"/>
      <c r="E21" s="1"/>
      <c r="F21" s="1"/>
    </row>
    <row r="22" spans="1:6" x14ac:dyDescent="0.45">
      <c r="A22" s="1"/>
      <c r="B22" s="1"/>
      <c r="C22" s="1"/>
      <c r="D22" s="1"/>
      <c r="E22" s="1"/>
      <c r="F22" s="1"/>
    </row>
    <row r="23" spans="1:6" x14ac:dyDescent="0.45">
      <c r="A23" s="1"/>
      <c r="B23" s="1"/>
      <c r="C23" s="1"/>
      <c r="D23" s="1"/>
      <c r="E23" s="1"/>
      <c r="F23" s="1"/>
    </row>
    <row r="24" spans="1:6" x14ac:dyDescent="0.45">
      <c r="A24" s="1"/>
      <c r="B24" s="1"/>
      <c r="C24" s="1"/>
      <c r="D24" s="1"/>
      <c r="E24" s="1"/>
      <c r="F24" s="1"/>
    </row>
    <row r="25" spans="1:6" x14ac:dyDescent="0.45">
      <c r="A25" s="1"/>
      <c r="B25" s="1"/>
      <c r="C25" s="1"/>
      <c r="D25" s="1"/>
      <c r="E25" s="1"/>
      <c r="F25" s="1"/>
    </row>
    <row r="26" spans="1:6" x14ac:dyDescent="0.45">
      <c r="A26" s="1"/>
      <c r="B26" s="1"/>
      <c r="C26" s="1"/>
      <c r="D26" s="1"/>
      <c r="E26" s="1"/>
      <c r="F26" s="1"/>
    </row>
    <row r="27" spans="1:6" x14ac:dyDescent="0.45">
      <c r="A27" s="1"/>
      <c r="B27" s="1"/>
      <c r="C27" s="1"/>
      <c r="D27" s="1"/>
      <c r="E27" s="1"/>
      <c r="F27" s="1"/>
    </row>
    <row r="28" spans="1:6" x14ac:dyDescent="0.45">
      <c r="A28" s="1"/>
      <c r="B28" s="1"/>
      <c r="C28" s="1"/>
      <c r="D28" s="1"/>
      <c r="E28" s="1"/>
      <c r="F28" s="1"/>
    </row>
    <row r="29" spans="1:6" x14ac:dyDescent="0.45">
      <c r="A29" s="1"/>
      <c r="B29" s="1"/>
      <c r="C29" s="1"/>
      <c r="D29" s="1"/>
      <c r="E29" s="1"/>
      <c r="F29" s="1"/>
    </row>
    <row r="30" spans="1:6" x14ac:dyDescent="0.45">
      <c r="A30" s="1"/>
      <c r="B30" s="1"/>
      <c r="C30" s="1"/>
      <c r="D30" s="1"/>
      <c r="E30" s="1"/>
      <c r="F30" s="1"/>
    </row>
    <row r="31" spans="1:6" x14ac:dyDescent="0.45">
      <c r="A31" s="1"/>
      <c r="B31" s="1"/>
      <c r="C31" s="1"/>
      <c r="D31" s="1"/>
      <c r="E31" s="1"/>
      <c r="F31" s="1"/>
    </row>
    <row r="32" spans="1:6" x14ac:dyDescent="0.45">
      <c r="A32" s="1"/>
      <c r="B32" s="1"/>
      <c r="C32" s="1"/>
      <c r="D32" s="1"/>
      <c r="E32" s="1"/>
      <c r="F32" s="1"/>
    </row>
    <row r="33" spans="1:6" x14ac:dyDescent="0.45">
      <c r="A33" s="1"/>
      <c r="B33" s="1"/>
      <c r="C33" s="1"/>
      <c r="D33" s="1"/>
      <c r="E33" s="1"/>
      <c r="F33" s="1"/>
    </row>
    <row r="34" spans="1:6" x14ac:dyDescent="0.45">
      <c r="A34" s="1"/>
      <c r="B34" s="1"/>
      <c r="C34" s="1"/>
      <c r="D34" s="1"/>
      <c r="E34" s="1"/>
      <c r="F34" s="1"/>
    </row>
    <row r="35" spans="1:6" x14ac:dyDescent="0.45">
      <c r="A35" s="1"/>
      <c r="B35" s="1"/>
      <c r="C35" s="1"/>
      <c r="D35" s="1"/>
      <c r="E35" s="1"/>
      <c r="F35" s="1"/>
    </row>
    <row r="36" spans="1:6" x14ac:dyDescent="0.45">
      <c r="A36" s="1"/>
      <c r="B36" s="1"/>
      <c r="C36" s="1"/>
      <c r="D36" s="1"/>
      <c r="E36" s="1"/>
      <c r="F36" s="1"/>
    </row>
    <row r="37" spans="1:6" x14ac:dyDescent="0.45">
      <c r="A37" s="1"/>
      <c r="B37" s="1"/>
      <c r="C37" s="1"/>
      <c r="D37" s="1"/>
      <c r="E37" s="1"/>
      <c r="F37" s="1"/>
    </row>
    <row r="38" spans="1:6" x14ac:dyDescent="0.45">
      <c r="A38" s="1"/>
      <c r="B38" s="1"/>
      <c r="C38" s="1"/>
      <c r="D38" s="1"/>
      <c r="E38" s="1"/>
      <c r="F38" s="1"/>
    </row>
    <row r="39" spans="1:6" x14ac:dyDescent="0.45">
      <c r="A39" s="1"/>
      <c r="B39" s="1"/>
      <c r="C39" s="1"/>
      <c r="D39" s="1"/>
      <c r="E39" s="1"/>
      <c r="F39" s="1"/>
    </row>
    <row r="40" spans="1:6" x14ac:dyDescent="0.45">
      <c r="A40" s="1"/>
      <c r="B40" s="1"/>
      <c r="C40" s="1"/>
      <c r="D40" s="1"/>
      <c r="E40" s="1"/>
      <c r="F40" s="1"/>
    </row>
    <row r="41" spans="1:6" x14ac:dyDescent="0.45">
      <c r="A41" s="1"/>
      <c r="B41" s="1"/>
      <c r="C41" s="1"/>
      <c r="D41" s="1"/>
      <c r="E41" s="1"/>
      <c r="F41" s="1"/>
    </row>
    <row r="42" spans="1:6" x14ac:dyDescent="0.45">
      <c r="A42" s="1"/>
      <c r="B42" s="1"/>
      <c r="C42" s="1"/>
      <c r="D42" s="1"/>
      <c r="E42" s="1"/>
      <c r="F42" s="1"/>
    </row>
    <row r="43" spans="1:6" x14ac:dyDescent="0.45">
      <c r="A43" s="1"/>
      <c r="B43" s="1"/>
      <c r="C43" s="1"/>
      <c r="D43" s="1"/>
      <c r="E43" s="1"/>
      <c r="F43" s="1"/>
    </row>
    <row r="44" spans="1:6" x14ac:dyDescent="0.45">
      <c r="A44" s="1"/>
      <c r="B44" s="1"/>
      <c r="C44" s="1"/>
      <c r="D44" s="1"/>
      <c r="E44" s="1"/>
      <c r="F44" s="1"/>
    </row>
    <row r="45" spans="1:6" x14ac:dyDescent="0.45">
      <c r="A45" s="1"/>
      <c r="B45" s="1"/>
      <c r="C45" s="1"/>
      <c r="D45" s="1"/>
      <c r="E45" s="1"/>
      <c r="F45" s="1"/>
    </row>
    <row r="46" spans="1:6" x14ac:dyDescent="0.45">
      <c r="A46" s="1"/>
      <c r="B46" s="1"/>
      <c r="C46" s="1"/>
      <c r="D46" s="1"/>
      <c r="E46" s="1"/>
      <c r="F46" s="1"/>
    </row>
    <row r="47" spans="1:6" x14ac:dyDescent="0.45">
      <c r="A47" s="1"/>
      <c r="B47" s="1"/>
      <c r="C47" s="1"/>
      <c r="D47" s="1"/>
      <c r="E47" s="1"/>
      <c r="F47" s="1"/>
    </row>
    <row r="48" spans="1:6" x14ac:dyDescent="0.45">
      <c r="A48" s="1"/>
      <c r="B48" s="1"/>
      <c r="C48" s="1"/>
      <c r="D48" s="1"/>
      <c r="E48" s="1"/>
      <c r="F48" s="1"/>
    </row>
    <row r="49" spans="1:6" x14ac:dyDescent="0.45">
      <c r="A49" s="1"/>
      <c r="B49" s="1"/>
      <c r="C49" s="1"/>
      <c r="D49" s="1"/>
      <c r="E49" s="1"/>
      <c r="F49" s="1"/>
    </row>
    <row r="50" spans="1:6" x14ac:dyDescent="0.45">
      <c r="A50" s="1"/>
      <c r="B50" s="1"/>
      <c r="C50" s="1"/>
      <c r="D50" s="1"/>
      <c r="E50" s="1"/>
      <c r="F50" s="1"/>
    </row>
  </sheetData>
  <sheetProtection algorithmName="SHA-512" hashValue="zltg4ZKEC+cUixrbsj2py0dOLUgeGEedBwfA/IW2hJb3zKkOOopl+vNaz6PGMI3gmx5gp5x5deoWYlDCQ0uwsQ==" saltValue="68JQ+ZLA8fczytvJt/kbXw==" spinCount="100000" sheet="1" objects="1" scenarios="1"/>
  <customSheetViews>
    <customSheetView guid="{61068CEC-D951-4EA8-B2F0-E3FAF0E2CE33}" showPageBreaks="1" showGridLines="0" view="pageLayout">
      <selection activeCell="C14" sqref="C14"/>
      <pageMargins left="0.75" right="0.7" top="0.75" bottom="0.75" header="0.3" footer="0.3"/>
      <pageSetup paperSize="9" orientation="portrait" r:id="rId1"/>
    </customSheetView>
  </customSheetViews>
  <mergeCells count="2">
    <mergeCell ref="B3:D4"/>
    <mergeCell ref="B8:D8"/>
  </mergeCells>
  <pageMargins left="0.75" right="0.7" top="0.75" bottom="0.75" header="0.3" footer="0.3"/>
  <pageSetup paperSize="9" orientation="portrait"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G45"/>
  <sheetViews>
    <sheetView showGridLines="0" view="pageLayout" zoomScaleNormal="100" workbookViewId="0"/>
  </sheetViews>
  <sheetFormatPr defaultColWidth="9.1328125" defaultRowHeight="14.25" x14ac:dyDescent="0.45"/>
  <cols>
    <col min="1" max="1" width="3.59765625" style="2" customWidth="1"/>
    <col min="2" max="3" width="9.1328125" style="2"/>
    <col min="4" max="4" width="47.265625" style="2" customWidth="1"/>
    <col min="5" max="5" width="10.73046875" style="2" customWidth="1"/>
    <col min="6" max="6" width="3.265625" style="2" customWidth="1"/>
    <col min="7" max="7" width="2.398437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29.25" customHeight="1" x14ac:dyDescent="0.45">
      <c r="A3" s="1"/>
      <c r="B3" s="86" t="s">
        <v>152</v>
      </c>
      <c r="C3" s="86"/>
      <c r="D3" s="86"/>
      <c r="E3" s="86"/>
      <c r="F3" s="86"/>
      <c r="G3" s="1"/>
    </row>
    <row r="4" spans="1:7" ht="15" customHeight="1" x14ac:dyDescent="0.45">
      <c r="A4" s="1"/>
      <c r="B4" s="86"/>
      <c r="C4" s="86"/>
      <c r="D4" s="86"/>
      <c r="E4" s="86"/>
      <c r="F4" s="86"/>
      <c r="G4" s="1"/>
    </row>
    <row r="5" spans="1:7" ht="15" customHeight="1" x14ac:dyDescent="0.45">
      <c r="A5" s="1"/>
      <c r="B5" s="38"/>
      <c r="C5" s="38"/>
      <c r="D5" s="38"/>
      <c r="E5" s="38"/>
      <c r="F5" s="38"/>
      <c r="G5" s="1"/>
    </row>
    <row r="6" spans="1:7" ht="15" customHeight="1" x14ac:dyDescent="0.45">
      <c r="A6" s="1"/>
      <c r="B6" s="38"/>
      <c r="C6" s="38"/>
      <c r="D6" s="38"/>
      <c r="E6" s="38"/>
      <c r="F6" s="38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88" t="s">
        <v>135</v>
      </c>
      <c r="C8" s="89"/>
      <c r="D8" s="89"/>
      <c r="E8" s="89"/>
      <c r="F8" s="90"/>
      <c r="G8" s="1"/>
    </row>
    <row r="9" spans="1:7" x14ac:dyDescent="0.45">
      <c r="A9" s="1"/>
      <c r="B9" s="98" t="s">
        <v>136</v>
      </c>
      <c r="C9" s="99"/>
      <c r="D9" s="100"/>
      <c r="E9" s="8">
        <v>-677677.69375846628</v>
      </c>
      <c r="F9" s="12" t="s">
        <v>3</v>
      </c>
      <c r="G9" s="1"/>
    </row>
    <row r="10" spans="1:7" x14ac:dyDescent="0.45">
      <c r="A10" s="1"/>
      <c r="B10" s="98" t="s">
        <v>137</v>
      </c>
      <c r="C10" s="99"/>
      <c r="D10" s="100"/>
      <c r="E10" s="8">
        <v>1361512.8419711376</v>
      </c>
      <c r="F10" s="12" t="s">
        <v>3</v>
      </c>
      <c r="G10" s="1"/>
    </row>
    <row r="11" spans="1:7" x14ac:dyDescent="0.45">
      <c r="A11" s="1"/>
      <c r="B11" s="98" t="s">
        <v>138</v>
      </c>
      <c r="C11" s="99"/>
      <c r="D11" s="100"/>
      <c r="E11" s="8">
        <v>1317372.2749948297</v>
      </c>
      <c r="F11" s="12" t="s">
        <v>3</v>
      </c>
      <c r="G11" s="1"/>
    </row>
    <row r="12" spans="1:7" x14ac:dyDescent="0.45">
      <c r="A12" s="1"/>
      <c r="B12" s="56"/>
      <c r="C12" s="22"/>
      <c r="D12" s="22"/>
      <c r="E12" s="22"/>
      <c r="F12" s="57"/>
      <c r="G12" s="1"/>
    </row>
    <row r="13" spans="1:7" ht="51.75" customHeight="1" x14ac:dyDescent="0.45">
      <c r="A13" s="1"/>
      <c r="B13" s="101" t="s">
        <v>139</v>
      </c>
      <c r="C13" s="102"/>
      <c r="D13" s="102"/>
      <c r="E13" s="102"/>
      <c r="F13" s="103"/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88" t="s">
        <v>140</v>
      </c>
      <c r="C15" s="89"/>
      <c r="D15" s="89"/>
      <c r="E15" s="89"/>
      <c r="F15" s="90"/>
      <c r="G15" s="1"/>
    </row>
    <row r="16" spans="1:7" x14ac:dyDescent="0.45">
      <c r="A16" s="1"/>
      <c r="B16" s="98" t="s">
        <v>141</v>
      </c>
      <c r="C16" s="99"/>
      <c r="D16" s="100"/>
      <c r="E16" s="8">
        <v>0</v>
      </c>
      <c r="F16" s="12" t="s">
        <v>3</v>
      </c>
      <c r="G16" s="1"/>
    </row>
    <row r="17" spans="1:7" x14ac:dyDescent="0.45">
      <c r="A17" s="1"/>
      <c r="B17" s="98" t="s">
        <v>142</v>
      </c>
      <c r="C17" s="99"/>
      <c r="D17" s="100"/>
      <c r="E17" s="8">
        <v>0</v>
      </c>
      <c r="F17" s="12" t="s">
        <v>3</v>
      </c>
      <c r="G17" s="1"/>
    </row>
    <row r="18" spans="1:7" x14ac:dyDescent="0.45">
      <c r="A18" s="1"/>
      <c r="B18" s="56"/>
      <c r="C18" s="22"/>
      <c r="D18" s="22"/>
      <c r="E18" s="22"/>
      <c r="F18" s="57"/>
      <c r="G18" s="1"/>
    </row>
    <row r="19" spans="1:7" ht="29.25" customHeight="1" x14ac:dyDescent="0.45">
      <c r="A19" s="1"/>
      <c r="B19" s="101" t="s">
        <v>143</v>
      </c>
      <c r="C19" s="102"/>
      <c r="D19" s="102"/>
      <c r="E19" s="102"/>
      <c r="F19" s="103"/>
      <c r="G19" s="1"/>
    </row>
    <row r="20" spans="1:7" ht="28.5" customHeight="1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47" t="s">
        <v>122</v>
      </c>
      <c r="C21" s="48"/>
      <c r="D21" s="48"/>
      <c r="E21" s="48"/>
      <c r="F21" s="49"/>
      <c r="G21" s="1"/>
    </row>
    <row r="22" spans="1:7" x14ac:dyDescent="0.45">
      <c r="A22" s="1"/>
      <c r="B22" s="50" t="s">
        <v>123</v>
      </c>
      <c r="C22" s="51"/>
      <c r="D22" s="52"/>
      <c r="E22" s="8">
        <v>7177160.5829737894</v>
      </c>
      <c r="F22" s="12" t="s">
        <v>3</v>
      </c>
      <c r="G22" s="1"/>
    </row>
    <row r="23" spans="1:7" x14ac:dyDescent="0.45">
      <c r="A23" s="1"/>
      <c r="B23" s="50" t="s">
        <v>124</v>
      </c>
      <c r="C23" s="51"/>
      <c r="D23" s="52"/>
      <c r="E23" s="8">
        <v>6060354</v>
      </c>
      <c r="F23" s="12" t="s">
        <v>3</v>
      </c>
      <c r="G23" s="1"/>
    </row>
    <row r="24" spans="1:7" x14ac:dyDescent="0.45">
      <c r="A24" s="1"/>
      <c r="B24" s="50" t="s">
        <v>30</v>
      </c>
      <c r="C24" s="51"/>
      <c r="D24" s="52"/>
      <c r="E24" s="8">
        <v>0</v>
      </c>
      <c r="F24" s="12" t="s">
        <v>3</v>
      </c>
      <c r="G24" s="1"/>
    </row>
    <row r="25" spans="1:7" x14ac:dyDescent="0.45">
      <c r="A25" s="1"/>
      <c r="B25" s="44" t="s">
        <v>125</v>
      </c>
      <c r="C25" s="45"/>
      <c r="D25" s="46"/>
      <c r="E25" s="34">
        <f>E22-(E23-E24)</f>
        <v>1116806.5829737894</v>
      </c>
      <c r="F25" s="15" t="s">
        <v>3</v>
      </c>
      <c r="G25" s="1"/>
    </row>
    <row r="26" spans="1:7" x14ac:dyDescent="0.45">
      <c r="A26" s="1"/>
      <c r="B26" s="56"/>
      <c r="C26" s="22"/>
      <c r="D26" s="22"/>
      <c r="E26" s="22"/>
      <c r="F26" s="57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88" t="s">
        <v>144</v>
      </c>
      <c r="C28" s="89"/>
      <c r="D28" s="89"/>
      <c r="E28" s="89"/>
      <c r="F28" s="90"/>
      <c r="G28" s="1"/>
    </row>
    <row r="29" spans="1:7" x14ac:dyDescent="0.45">
      <c r="A29" s="1"/>
      <c r="B29" s="83" t="s">
        <v>145</v>
      </c>
      <c r="C29" s="84"/>
      <c r="D29" s="85"/>
      <c r="E29" s="9">
        <f>IF(AND(SUM(E9:E11)&gt;0,E25&gt;0),0,IF(AND(SUM(E9:E11)&gt;0,E25&lt;0,ABS(SUM(E9:E11))&gt;ABS(E25)),0,IF(AND(SUM(E9:E11)&lt;0,E25&gt;0,ABS(SUM(E9:E11))&lt;ABS(E25)),-SUM(E9:E11)/2,IF(AND(SUM(E9:E11)&lt;0,E25&gt;0,ABS(SUM(E9:E11))&gt;ABS(E25)),SUM(E9:E11)/2+E25,0))))</f>
        <v>0</v>
      </c>
      <c r="F29" s="15" t="s">
        <v>3</v>
      </c>
      <c r="G29" s="1"/>
    </row>
    <row r="30" spans="1:7" x14ac:dyDescent="0.45">
      <c r="A30" s="1"/>
      <c r="B30" s="88"/>
      <c r="C30" s="89"/>
      <c r="D30" s="89"/>
      <c r="E30" s="89"/>
      <c r="F30" s="90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88" t="s">
        <v>146</v>
      </c>
      <c r="C32" s="89"/>
      <c r="D32" s="89"/>
      <c r="E32" s="89"/>
      <c r="F32" s="90"/>
      <c r="G32" s="1"/>
    </row>
    <row r="33" spans="1:7" x14ac:dyDescent="0.45">
      <c r="A33" s="1"/>
      <c r="B33" s="95" t="s">
        <v>85</v>
      </c>
      <c r="C33" s="96"/>
      <c r="D33" s="97"/>
      <c r="E33" s="8">
        <f>IF(AND(SUM(E9:E11)&gt;0,E25&lt;0,ABS(SUM(E9:E11))&lt;ABS(E25)),(SUM(E9:E11)-ABS(E25)),IF(AND(SUM(E9:E11)&lt;0,E25&lt;0),E25,0))</f>
        <v>0</v>
      </c>
      <c r="F33" s="12" t="s">
        <v>3</v>
      </c>
      <c r="G33" s="1"/>
    </row>
    <row r="34" spans="1:7" x14ac:dyDescent="0.45">
      <c r="A34" s="1"/>
      <c r="B34" s="95" t="s">
        <v>55</v>
      </c>
      <c r="C34" s="96"/>
      <c r="D34" s="97"/>
      <c r="E34" s="8">
        <v>4</v>
      </c>
      <c r="F34" s="12" t="s">
        <v>19</v>
      </c>
      <c r="G34" s="1"/>
    </row>
    <row r="35" spans="1:7" x14ac:dyDescent="0.45">
      <c r="A35" s="1"/>
      <c r="B35" s="94" t="s">
        <v>147</v>
      </c>
      <c r="C35" s="94"/>
      <c r="D35" s="94"/>
      <c r="E35" s="9">
        <f>E33/E34</f>
        <v>0</v>
      </c>
      <c r="F35" s="15" t="s">
        <v>3</v>
      </c>
      <c r="G35" s="1"/>
    </row>
    <row r="36" spans="1:7" x14ac:dyDescent="0.45">
      <c r="A36" s="1"/>
      <c r="B36" s="91"/>
      <c r="C36" s="92"/>
      <c r="D36" s="92"/>
      <c r="E36" s="92"/>
      <c r="F36" s="93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</sheetData>
  <sheetProtection algorithmName="SHA-512" hashValue="2GWTI4uVsc7U/BrMjH5SMHYdAhq5D9md1fyySc7Aotd3piGaRf1mvUZLjMPC+E9KK6D4neFQO/aSQ2mZLhdSpg==" saltValue="RiSzjY9a2HO3A+ZA5fZm5Q==" spinCount="100000" sheet="1" objects="1" scenarios="1"/>
  <customSheetViews>
    <customSheetView guid="{61068CEC-D951-4EA8-B2F0-E3FAF0E2CE33}" showPageBreaks="1" showGridLines="0" view="pageLayout" topLeftCell="A28">
      <selection activeCell="E39" sqref="E39"/>
      <pageMargins left="0.79166666666666663" right="0.7" top="0.75" bottom="0.75" header="0.3" footer="0.3"/>
      <pageSetup paperSize="9" orientation="portrait" r:id="rId1"/>
    </customSheetView>
  </customSheetViews>
  <mergeCells count="18">
    <mergeCell ref="B3:F4"/>
    <mergeCell ref="B30:F30"/>
    <mergeCell ref="B28:F28"/>
    <mergeCell ref="B16:D16"/>
    <mergeCell ref="B17:D17"/>
    <mergeCell ref="B19:F19"/>
    <mergeCell ref="B29:D29"/>
    <mergeCell ref="B8:F8"/>
    <mergeCell ref="B10:D10"/>
    <mergeCell ref="B11:D11"/>
    <mergeCell ref="B13:F13"/>
    <mergeCell ref="B15:F15"/>
    <mergeCell ref="B9:D9"/>
    <mergeCell ref="B36:F36"/>
    <mergeCell ref="B35:D35"/>
    <mergeCell ref="B34:D34"/>
    <mergeCell ref="B33:D33"/>
    <mergeCell ref="B32:F32"/>
  </mergeCells>
  <pageMargins left="0.79166666666666663" right="0.7" top="0.75" bottom="0.75" header="0.3" footer="0.3"/>
  <pageSetup paperSize="9" orientation="portrait"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328125" defaultRowHeight="14.25" x14ac:dyDescent="0.45"/>
  <cols>
    <col min="1" max="1" width="4.73046875" style="2" customWidth="1"/>
    <col min="2" max="2" width="22.59765625" style="2" customWidth="1"/>
    <col min="3" max="3" width="8.265625" style="2" customWidth="1"/>
    <col min="4" max="6" width="10.73046875" style="2" customWidth="1"/>
    <col min="7" max="7" width="11.1328125" style="2" customWidth="1"/>
    <col min="8" max="8" width="3.265625" style="2" customWidth="1"/>
    <col min="9" max="9" width="4.86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73" t="s">
        <v>88</v>
      </c>
      <c r="C3" s="73"/>
      <c r="D3" s="73"/>
      <c r="E3" s="73"/>
      <c r="F3" s="73"/>
      <c r="G3" s="73"/>
      <c r="H3" s="73"/>
      <c r="I3" s="1"/>
    </row>
    <row r="4" spans="1:9" ht="15" customHeight="1" x14ac:dyDescent="0.45">
      <c r="A4" s="1"/>
      <c r="B4" s="73"/>
      <c r="C4" s="73"/>
      <c r="D4" s="73"/>
      <c r="E4" s="73"/>
      <c r="F4" s="73"/>
      <c r="G4" s="73"/>
      <c r="H4" s="73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x14ac:dyDescent="0.45">
      <c r="A6" s="1"/>
      <c r="B6" s="1"/>
      <c r="C6" s="1"/>
      <c r="D6" s="1"/>
      <c r="E6" s="1"/>
      <c r="F6" s="1"/>
      <c r="G6" s="1"/>
      <c r="H6" s="1"/>
      <c r="I6" s="1"/>
    </row>
    <row r="7" spans="1:9" x14ac:dyDescent="0.45">
      <c r="A7" s="1"/>
      <c r="B7" s="1"/>
      <c r="C7" s="1"/>
      <c r="D7" s="1"/>
      <c r="E7" s="1"/>
      <c r="F7" s="1"/>
      <c r="G7" s="1"/>
      <c r="H7" s="1"/>
      <c r="I7" s="1"/>
    </row>
    <row r="8" spans="1:9" x14ac:dyDescent="0.45">
      <c r="A8" s="1"/>
      <c r="B8" s="88" t="s">
        <v>79</v>
      </c>
      <c r="C8" s="89"/>
      <c r="D8" s="89"/>
      <c r="E8" s="89"/>
      <c r="F8" s="89"/>
      <c r="G8" s="89"/>
      <c r="H8" s="90"/>
      <c r="I8" s="1"/>
    </row>
    <row r="9" spans="1:9" ht="39.75" customHeight="1" x14ac:dyDescent="0.45">
      <c r="A9" s="1"/>
      <c r="B9" s="16" t="s">
        <v>0</v>
      </c>
      <c r="C9" s="16" t="s">
        <v>1</v>
      </c>
      <c r="D9" s="16" t="s">
        <v>10</v>
      </c>
      <c r="E9" s="43" t="s">
        <v>2</v>
      </c>
      <c r="F9" s="43" t="s">
        <v>11</v>
      </c>
      <c r="G9" s="43" t="s">
        <v>27</v>
      </c>
      <c r="H9" s="55"/>
      <c r="I9" s="1"/>
    </row>
    <row r="10" spans="1:9" x14ac:dyDescent="0.45">
      <c r="A10" s="1"/>
      <c r="B10" s="35" t="s">
        <v>151</v>
      </c>
      <c r="C10" s="36">
        <v>0</v>
      </c>
      <c r="D10" s="8">
        <v>0</v>
      </c>
      <c r="E10" s="8">
        <f>IFERROR(D10/C10,0)</f>
        <v>0</v>
      </c>
      <c r="F10" s="8">
        <v>0</v>
      </c>
      <c r="G10" s="8">
        <v>0</v>
      </c>
      <c r="H10" s="12" t="s">
        <v>3</v>
      </c>
      <c r="I10" s="1"/>
    </row>
    <row r="11" spans="1:9" x14ac:dyDescent="0.45">
      <c r="A11" s="1"/>
      <c r="B11" s="88" t="s">
        <v>80</v>
      </c>
      <c r="C11" s="89"/>
      <c r="D11" s="90"/>
      <c r="E11" s="10">
        <f>SUM(E10:E10)</f>
        <v>0</v>
      </c>
      <c r="F11" s="10">
        <f>SUM(F10:F10)</f>
        <v>0</v>
      </c>
      <c r="G11" s="10">
        <f>SUM(G10:G10)</f>
        <v>0</v>
      </c>
      <c r="H11" s="11" t="s">
        <v>3</v>
      </c>
      <c r="I11" s="1"/>
    </row>
    <row r="12" spans="1:9" x14ac:dyDescent="0.4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4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4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4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4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4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4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4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4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4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4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4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4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stdHKjwaZius3CmSTfMROBD5R64OTRPh0nNtJ0qFyMANSjtflMcw61evmtSqWRi480eaiqihPp/7hWc6OM6sAA==" saltValue="LAJ5xoeezpR7k46nmnhVaw==" spinCount="100000" sheet="1" objects="1" scenarios="1"/>
  <customSheetViews>
    <customSheetView guid="{61068CEC-D951-4EA8-B2F0-E3FAF0E2CE33}" showPageBreaks="1" showGridLines="0" view="pageLayout">
      <selection activeCell="E12" sqref="E12"/>
      <pageMargins left="0.7" right="0.7" top="0.75" bottom="0.75" header="0.3" footer="0.3"/>
      <pageSetup paperSize="9" orientation="portrait" r:id="rId1"/>
    </customSheetView>
  </customSheetViews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14</vt:i4>
      </vt:variant>
    </vt:vector>
  </HeadingPairs>
  <TitlesOfParts>
    <vt:vector size="14" baseType="lpstr">
      <vt:lpstr>1. Forside</vt:lpstr>
      <vt:lpstr>Fane 2.1. Økonomisk ramme 2022</vt:lpstr>
      <vt:lpstr>Fane 2.2. Økonomisk ramme 2023</vt:lpstr>
      <vt:lpstr>Fane 2.3. Økonomisk ramme 2024</vt:lpstr>
      <vt:lpstr>Fane 2.4. Økonomisk ramme 2025</vt:lpstr>
      <vt:lpstr>Fane 3. Omkostninger i ØR2021</vt:lpstr>
      <vt:lpstr>Fane 4. Ikke-påvirkelige omk.</vt:lpstr>
      <vt:lpstr>Fane 5. Kontrol af ØR2020</vt:lpstr>
      <vt:lpstr>Fane 6. Anlægsprojekter</vt:lpstr>
      <vt:lpstr>Fane 7.1. Varige tillæg</vt:lpstr>
      <vt:lpstr>Fane 7.2. Engangstillæg</vt:lpstr>
      <vt:lpstr>Fane 8. Tilknyttet virksomhed</vt:lpstr>
      <vt:lpstr>Fane 9. Bortfald</vt:lpstr>
      <vt:lpstr>Fane 10.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Katrine Stagaard</cp:lastModifiedBy>
  <cp:lastPrinted>2016-06-14T12:57:30Z</cp:lastPrinted>
  <dcterms:created xsi:type="dcterms:W3CDTF">2016-06-02T08:51:18Z</dcterms:created>
  <dcterms:modified xsi:type="dcterms:W3CDTF">2021-08-18T22:58:54Z</dcterms:modified>
</cp:coreProperties>
</file>