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Grindsted Renseanlæg AS (S112)\ØR2024\"/>
    </mc:Choice>
  </mc:AlternateContent>
  <xr:revisionPtr revIDLastSave="0" documentId="13_ncr:1_{202B51FB-F4CE-4A5B-AF22-9AA4382F321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9" i="44" l="1"/>
  <c r="E16" i="44" l="1"/>
  <c r="E17" i="44"/>
  <c r="E25" i="44" l="1"/>
  <c r="E18" i="44"/>
  <c r="C9" i="2"/>
  <c r="E31" i="44" l="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<sst xmlns="http://schemas.openxmlformats.org/spreadsheetml/2006/main" count="657" uniqueCount="292">
  <si>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</si>
  <si>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</si>
  <si>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</si>
  <si>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</si>
  <si>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</si>
  <si>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</si>
  <si>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</si>
  <si>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</si>
  <si>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</si>
  <si>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</si>
  <si>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</si>
  <si>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</si>
  <si>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</si>
  <si>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</si>
  <si>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</si>
  <si>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</si>
  <si>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</si>
  <si>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</si>
  <si>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</si>
  <si>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</si>
  <si>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</si>
  <si>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</si>
  <si>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</si>
  <si>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</si>
  <si>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</si>
  <si>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</si>
  <si>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</si>
  <si>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</si>
  <si>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</si>
  <si>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</si>
  <si>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</si>
  <si>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</si>
  <si>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</si>
  <si>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</si>
  <si>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</si>
  <si>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</si>
  <si>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</si>
  <si>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</si>
  <si>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</si>
  <si>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</si>
  <si>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</si>
  <si>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</si>
  <si>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</si>
  <si>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</si>
  <si>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</si>
  <si>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</si>
  <si>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</si>
  <si>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</si>
  <si>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</si>
  <si>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</si>
  <si>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</si>
  <si>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</si>
  <si>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</si>
  <si>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</si>
  <si>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</si>
  <si>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</si>
  <si>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</si>
  <si>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</si>
  <si>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</si>
  <si>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</si>
  <si>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</si>
  <si>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</si>
  <si>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</si>
  <si>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</si>
  <si>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</si>
  <si>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</si>
  <si>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</si>
  <si>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</si>
  <si>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</si>
  <si>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</si>
  <si>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</si>
  <si>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</si>
  <si>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</si>
  <si>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</si>
  <si>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</si>
  <si>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</si>
  <si>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</si>
  <si>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</si>
  <si>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</si>
  <si>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</si>
  <si>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</si>
  <si>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</si>
  <si>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</si>
  <si>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</si>
  <si>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</si>
  <si>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</si>
  <si>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</si>
  <si>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</si>
  <si>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</si>
  <si>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</si>
  <si>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</si>
  <si>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</si>
  <si>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</si>
  <si>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</si>
  <si>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</si>
  <si>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</si>
  <si>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</si>
  <si>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</si>
  <si>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</si>
  <si>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</si>
  <si>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</si>
  <si>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</si>
  <si>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</si>
  <si>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</si>
  <si>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</si>
  <si>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</si>
  <si>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</si>
  <si>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</si>
  <si>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</si>
  <si>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</si>
  <si>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</si>
  <si>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</si>
  <si>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</si>
  <si>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</si>
  <si>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</si>
  <si>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</si>
  <si>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</si>
  <si>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</si>
  <si>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</si>
  <si>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</si>
  <si>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</si>
  <si>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</si>
  <si>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</si>
  <si>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</si>
  <si>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</si>
  <si>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</si>
  <si>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</si>
  <si>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</si>
  <si>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</si>
  <si>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</si>
  <si>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</si>
  <si>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</si>
  <si>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</si>
  <si>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</si>
  <si>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</si>
  <si>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</si>
  <si>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</si>
  <si>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</si>
  <si>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</si>
  <si>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</si>
  <si>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</si>
  <si>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</si>
  <si>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</si>
  <si>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</si>
  <si>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</si>
  <si>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</si>
  <si>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</si>
  <si>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</si>
  <si>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</si>
  <si>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</si>
  <si>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</si>
  <si>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</si>
  <si>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</si>
  <si>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</si>
  <si>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</si>
  <si>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</si>
  <si>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</si>
  <si>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</si>
  <si>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</si>
  <si>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</si>
  <si>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</si>
  <si>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</si>
  <si>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</si>
  <si>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</si>
  <si>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</si>
  <si>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</si>
  <si>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</si>
  <si>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</si>
  <si>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</si>
  <si>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</si>
  <si>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</si>
  <si>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</si>
  <si>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</si>
  <si>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</si>
  <si>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</si>
  <si>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</si>
  <si>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</si>
  <si>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</si>
  <si>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</si>
  <si>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</si>
  <si>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</si>
  <si>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</si>
  <si>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</si>
  <si>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</si>
  <si>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</si>
  <si>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</si>
  <si>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</si>
  <si>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</si>
  <si>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</si>
  <si>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</si>
  <si>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</si>
  <si>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</si>
  <si>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</si>
  <si>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</si>
  <si>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</si>
  <si>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</si>
  <si>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</si>
  <si>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</si>
  <si>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</si>
  <si>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</si>
  <si>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</si>
  <si>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</si>
  <si>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</si>
  <si>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</si>
  <si>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</si>
  <si>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</si>
  <si>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</si>
  <si>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</si>
  <si>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</si>
  <si>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</si>
  <si>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</si>
  <si>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</si>
  <si>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</si>
  <si>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</si>
  <si>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</si>
  <si>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</si>
  <si>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</si>
  <si>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</si>
  <si>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</si>
  <si>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</si>
  <si>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</si>
  <si>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</si>
  <si>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</si>
  <si>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</si>
  <si>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</si>
  <si>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</si>
  <si>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</si>
  <si>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</si>
  <si>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</si>
  <si>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</si>
  <si>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</si>
  <si>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</si>
  <si>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</si>
  <si>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</si>
  <si>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</si>
  <si>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</si>
  <si>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</si>
  <si>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</si>
  <si>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</si>
  <si>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</si>
  <si>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</si>
  <si>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</si>
  <si>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</si>
  <si>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</si>
  <si>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</si>
  <si>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</si>
  <si>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</si>
  <si>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</si>
  <si>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</si>
  <si>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</si>
  <si>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</si>
  <si>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</si>
  <si>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</si>
  <si>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</si>
  <si>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</si>
  <si>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</si>
  <si>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</si>
  <si>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</si>
  <si>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</si>
  <si>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</si>
  <si>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</si>
  <si>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</si>
  <si>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</si>
  <si>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</si>
  <si>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</si>
  <si>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</si>
  <si>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</si>
  <si>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</si>
  <si>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</si>
  <si>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</si>
  <si>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</si>
  <si>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</si>
  <si>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</si>
  <si>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</si>
  <si>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</si>
  <si>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</si>
  <si>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Byggemodninger</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</si>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</sst>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98jj3r8ihzKCQLsbv4IdBiK9edGSq6XvSIRWYfiSNbsLWPsKeP0VR+/GC70yqGG2gve4VomjTeuvLHlkrpCoyQ==" saltValue="aKErfh7x1wpCNdwSr71/+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272</v>
      </c>
      <c r="C10" s="9">
        <v>711869</v>
      </c>
      <c r="D10" s="14" t="s">
        <v>3</v>
      </c>
      <c r="E10" s="1"/>
      <c r="F10" s="1"/>
    </row>
    <row r="11" spans="1:6" ht="15" customHeight="1" x14ac:dyDescent="0.25">
      <c r="A11" s="1"/>
      <c r="B11" s="80" t="s">
        <v>273</v>
      </c>
      <c r="C11" s="9">
        <v>79773</v>
      </c>
      <c r="D11" s="14" t="s">
        <v>3</v>
      </c>
      <c r="E11" s="1"/>
      <c r="F11" s="1"/>
    </row>
    <row r="12" spans="1:6" ht="26.25" x14ac:dyDescent="0.25">
      <c r="A12" s="1"/>
      <c r="B12" s="29" t="s">
        <v>274</v>
      </c>
      <c r="C12" s="9">
        <v>10184</v>
      </c>
      <c r="D12" s="14" t="s">
        <v>3</v>
      </c>
      <c r="E12" s="1"/>
      <c r="F12" s="1"/>
    </row>
    <row r="13" spans="1:6" x14ac:dyDescent="0.25">
      <c r="A13" s="1"/>
      <c r="B13" s="80" t="s">
        <v>275</v>
      </c>
      <c r="C13" s="9">
        <v>40109</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841935</v>
      </c>
      <c r="D20" s="13" t="s">
        <v>3</v>
      </c>
      <c r="E20" s="1"/>
      <c r="F20" s="1"/>
    </row>
    <row r="21" spans="1:6" x14ac:dyDescent="0.25">
      <c r="A21" s="1"/>
      <c r="B21" s="33" t="s">
        <v>227</v>
      </c>
      <c r="C21" s="12">
        <f>C20*(1+'Fane 15. Nøgletal'!C16)^2</f>
        <v>983488.38651839993</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t6tTUpQfB3kxyeHjcZKZ6+P9QG+hCBPyEJW0WwAJBemjT8fzPNilrbYsG/BAe4EmUP5JJe5c50O5gmLuoRqW7A==" saltValue="Gtg+Xp0YqDx931H3pzEv3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4F5F-9276-452D-AE9F-12DBF044D341}">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278</v>
      </c>
      <c r="C9" s="120"/>
      <c r="D9" s="121"/>
      <c r="E9" s="9">
        <v>-2983413</v>
      </c>
      <c r="F9" s="14" t="s">
        <v>3</v>
      </c>
      <c r="G9" s="1"/>
    </row>
    <row r="10" spans="1:7" ht="15" customHeight="1" x14ac:dyDescent="0.25">
      <c r="A10" s="1"/>
      <c r="B10" s="119" t="s">
        <v>143</v>
      </c>
      <c r="C10" s="120"/>
      <c r="D10" s="121"/>
      <c r="E10" s="9">
        <v>-334227</v>
      </c>
      <c r="F10" s="14" t="s">
        <v>3</v>
      </c>
      <c r="G10" s="1"/>
    </row>
    <row r="11" spans="1:7" ht="15" customHeight="1" x14ac:dyDescent="0.25">
      <c r="A11" s="1"/>
      <c r="B11" s="119" t="s">
        <v>279</v>
      </c>
      <c r="C11" s="120"/>
      <c r="D11" s="121"/>
      <c r="E11" s="9">
        <v>312846</v>
      </c>
      <c r="F11" s="14" t="s">
        <v>3</v>
      </c>
      <c r="G11" s="1"/>
    </row>
    <row r="12" spans="1:7" x14ac:dyDescent="0.25">
      <c r="A12" s="1"/>
      <c r="B12" s="33"/>
      <c r="C12" s="28"/>
      <c r="D12" s="28"/>
      <c r="E12" s="28"/>
      <c r="F12" s="19"/>
      <c r="G12" s="1"/>
    </row>
    <row r="13" spans="1:7" ht="42" customHeight="1" x14ac:dyDescent="0.25">
      <c r="A13" s="1"/>
      <c r="B13" s="113" t="s">
        <v>280</v>
      </c>
      <c r="C13" s="114"/>
      <c r="D13" s="114"/>
      <c r="E13" s="114"/>
      <c r="F13" s="115"/>
      <c r="G13" s="1"/>
    </row>
    <row r="14" spans="1:7" ht="15" customHeight="1" x14ac:dyDescent="0.25">
      <c r="A14" s="1"/>
      <c r="B14" s="1"/>
      <c r="C14" s="1"/>
      <c r="D14" s="1"/>
      <c r="E14" s="1"/>
      <c r="F14" s="1"/>
      <c r="G14" s="1"/>
    </row>
    <row r="15" spans="1:7" x14ac:dyDescent="0.25">
      <c r="A15" s="1"/>
      <c r="B15" s="74" t="s">
        <v>281</v>
      </c>
      <c r="C15" s="75"/>
      <c r="D15" s="75"/>
      <c r="E15" s="75"/>
      <c r="F15" s="76"/>
      <c r="G15" s="1"/>
    </row>
    <row r="16" spans="1:7" x14ac:dyDescent="0.25">
      <c r="A16" s="1"/>
      <c r="B16" s="77" t="s">
        <v>282</v>
      </c>
      <c r="C16" s="78"/>
      <c r="D16" s="79"/>
      <c r="E16" s="9">
        <f>IF(E11&lt;0,E11,0)</f>
        <v>0</v>
      </c>
      <c r="F16" s="14" t="s">
        <v>3</v>
      </c>
      <c r="G16" s="1"/>
    </row>
    <row r="17" spans="1:7" x14ac:dyDescent="0.25">
      <c r="A17" s="1"/>
      <c r="B17" s="77" t="s">
        <v>283</v>
      </c>
      <c r="C17" s="78"/>
      <c r="D17" s="79"/>
      <c r="E17" s="9">
        <f>IF(SUM(E10)&gt;0,SUM(E10),0)</f>
        <v>0</v>
      </c>
      <c r="F17" s="14" t="s">
        <v>3</v>
      </c>
      <c r="G17" s="1"/>
    </row>
    <row r="18" spans="1:7" x14ac:dyDescent="0.25">
      <c r="A18" s="1"/>
      <c r="B18" s="81" t="s">
        <v>284</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285</v>
      </c>
      <c r="C21" s="75"/>
      <c r="D21" s="75"/>
      <c r="E21" s="75"/>
      <c r="F21" s="76"/>
      <c r="G21" s="1"/>
    </row>
    <row r="22" spans="1:7" x14ac:dyDescent="0.25">
      <c r="A22" s="1"/>
      <c r="B22" s="77" t="s">
        <v>286</v>
      </c>
      <c r="C22" s="78"/>
      <c r="D22" s="79"/>
      <c r="E22" s="9">
        <v>27375245</v>
      </c>
      <c r="F22" s="14" t="s">
        <v>3</v>
      </c>
      <c r="G22" s="1"/>
    </row>
    <row r="23" spans="1:7" x14ac:dyDescent="0.25">
      <c r="A23" s="1"/>
      <c r="B23" s="77" t="s">
        <v>287</v>
      </c>
      <c r="C23" s="78"/>
      <c r="D23" s="79"/>
      <c r="E23" s="9">
        <v>27987921</v>
      </c>
      <c r="F23" s="14" t="s">
        <v>3</v>
      </c>
      <c r="G23" s="1"/>
    </row>
    <row r="24" spans="1:7" x14ac:dyDescent="0.25">
      <c r="A24" s="1"/>
      <c r="B24" s="77" t="s">
        <v>30</v>
      </c>
      <c r="C24" s="78"/>
      <c r="D24" s="79"/>
      <c r="E24" s="9">
        <v>0</v>
      </c>
      <c r="F24" s="14" t="s">
        <v>3</v>
      </c>
      <c r="G24" s="1"/>
    </row>
    <row r="25" spans="1:7" x14ac:dyDescent="0.25">
      <c r="A25" s="1"/>
      <c r="B25" s="81" t="s">
        <v>288</v>
      </c>
      <c r="C25" s="82"/>
      <c r="D25" s="83"/>
      <c r="E25" s="62">
        <f>E22-E23-E24</f>
        <v>-612676</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289</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-612676</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-306338</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3LaKO2Ov7xF9Dv73ojZ9LZvFZHk0q3QWFLl+odPd6/9L1gopKJBPJXWe6HmTkf2pvrEX8haoJpcCNRcoxDV3Tw==" saltValue="PiMOxuINXIfJOlvsFBUvf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Q6lF9xDWQh+pol2AtOIyTlvAmnJ5FzKnJ5twrFsRrpZDy4GbyX108QZyow6lGmZFz3nqHfNsSq5fCtuzyJIGA==" saltValue="49tcc7I5xOo6QOcifcU8E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TjDc9blOz6YBcWVt9I4qIXo5Ab8uQ+flW9w6YbhUeZHc3islaMBqbBFggJtA1CP/oB9l4lp10yhE2w+xeyXAQ==" saltValue="0EQJ28596iPcI2O+xNv/s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LUpbeI71iHWGYRk9/o9yjtqsr95NKiBEDzKOtvk2hSEPyTPglFEuws9X0oL6YsXXeKCFJVG5e5amFdMSkLu66w==" saltValue="eW/lYFiWmjwwGYnAZzJCP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276</v>
      </c>
      <c r="C11" s="21">
        <v>127275</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127275</v>
      </c>
      <c r="D19" s="13" t="s">
        <v>3</v>
      </c>
      <c r="E19" s="12">
        <f>SUM(E10:E18)</f>
        <v>0</v>
      </c>
      <c r="F19" s="13" t="s">
        <v>3</v>
      </c>
      <c r="G19" s="1"/>
    </row>
    <row r="20" spans="1:7" x14ac:dyDescent="0.25">
      <c r="A20" s="1"/>
      <c r="B20" s="33" t="s">
        <v>233</v>
      </c>
      <c r="C20" s="12">
        <f>C19*(1+'Fane 15. Nøgletal'!C16)</f>
        <v>137558.82</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OqZRq7dfAoo2u6u/IxHmB5URdaVZ5lzH3JFqKeNg0Iu3aPLhGGDoxR3PcS6jTeGtXFrAGVFx5vg6F5sg4zlLw==" saltValue="onhexbBY6BLGsKUvELHKE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277</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9xODowQKVNoG9ckl6/LTRvBqQQgkpeSZJPOt6e1cptFUeMQsZGK5Shlgl75r9MoXon69yZW56ZMPRKKy+5IFQ==" saltValue="ypTVDZ9exy/e1NAAhzK2v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prZUNU6ABtI9vrSPjMpNkPAh6VgIw+n6lLelflJ2NLK7Q2IvvUGc45S/If3I8KNJe9Yqv4HyiuGS1ekFbmnRA==" saltValue="s0oAWhP+cZZkmHIeU6Oxc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0"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7Rs5Q8aOISMdUotL/RWwk/SSHiM6fOzj4iWKvUyzz6Ombon0C1FO5bv7aEDJBiONBAEwuKrP3KnQGzzUI35Ggg==" saltValue="P15xWafD0+iVAN2IwyXO0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0"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quc9dXz1UtpTGBm3QZZohToMoh2Wwh/NDvgMnMRoFkhhlqbaE9/pHw5n03JH/oqPcPxvNeB3GYeNpnJLkFZ6g==" saltValue="iNWvqZTGAx9I5r437zXQy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28560660.900090981</v>
      </c>
      <c r="D9" s="8" t="s">
        <v>3</v>
      </c>
      <c r="E9" s="1"/>
    </row>
    <row r="10" spans="1:5" ht="17.25" customHeight="1" x14ac:dyDescent="0.25">
      <c r="A10" s="1"/>
      <c r="B10" s="87" t="s">
        <v>36</v>
      </c>
      <c r="C10" s="7">
        <f>'Fane 11.1. Varige tillæg'!C20</f>
        <v>137558.82</v>
      </c>
      <c r="D10" s="8" t="s">
        <v>3</v>
      </c>
      <c r="E10" s="1"/>
    </row>
    <row r="11" spans="1:5" ht="17.25" customHeight="1" x14ac:dyDescent="0.25">
      <c r="A11" s="1"/>
      <c r="B11" s="87" t="s">
        <v>37</v>
      </c>
      <c r="C11" s="9">
        <f>'Fane 11.1. Varige tillæg'!E20</f>
        <v>0</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2318816.1533833514</v>
      </c>
      <c r="D16" s="8" t="s">
        <v>3</v>
      </c>
      <c r="E16" s="1"/>
    </row>
    <row r="17" spans="1:5" ht="17.25" customHeight="1" x14ac:dyDescent="0.25">
      <c r="A17" s="1"/>
      <c r="B17" s="87" t="s">
        <v>10</v>
      </c>
      <c r="C17" s="41">
        <f>-SUM(C9,C10:C16)*'Fane 5. Individuelt eff. krav'!G9</f>
        <v>-500367.37438454403</v>
      </c>
      <c r="D17" s="8" t="s">
        <v>3</v>
      </c>
      <c r="E17" s="1"/>
    </row>
    <row r="18" spans="1:5" ht="17.25" customHeight="1" x14ac:dyDescent="0.25">
      <c r="A18" s="1"/>
      <c r="B18" s="87" t="s">
        <v>23</v>
      </c>
      <c r="C18" s="41">
        <f>-'Fane 4.1. Gen. krav - drift'!G54</f>
        <v>-325347.37347095803</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30191321.12561883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983488.38651839993</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9">
        <f>'Fane 11.2. Engangstillæg'!C14</f>
        <v>0</v>
      </c>
      <c r="D26" s="8" t="s">
        <v>3</v>
      </c>
      <c r="E26" s="1"/>
    </row>
    <row r="27" spans="1:5" ht="15" customHeight="1" x14ac:dyDescent="0.25">
      <c r="A27" s="1"/>
      <c r="B27" s="87" t="s">
        <v>70</v>
      </c>
      <c r="C27" s="9">
        <f>'Fane 11.2. Engangstillæg'!E14</f>
        <v>0</v>
      </c>
      <c r="D27" s="8" t="s">
        <v>3</v>
      </c>
      <c r="E27" s="1"/>
    </row>
    <row r="28" spans="1:5" ht="15" customHeight="1" x14ac:dyDescent="0.25">
      <c r="A28" s="1"/>
      <c r="B28" s="87" t="s">
        <v>161</v>
      </c>
      <c r="C28" s="9">
        <f>-C26*('Fane 15. Nøgletal'!C33+'Fane 5. Individuelt eff. krav'!G9)</f>
        <v>0</v>
      </c>
      <c r="D28" s="8" t="s">
        <v>3</v>
      </c>
      <c r="E28" s="1"/>
    </row>
    <row r="29" spans="1:5" ht="15" customHeight="1" x14ac:dyDescent="0.25">
      <c r="A29" s="1"/>
      <c r="B29" s="87" t="s">
        <v>162</v>
      </c>
      <c r="C29" s="9">
        <f>-C27*('Fane 15. Nøgletal'!C28+'Fane 5. Individuelt eff. krav'!G9)</f>
        <v>0</v>
      </c>
      <c r="D29" s="8" t="s">
        <v>3</v>
      </c>
      <c r="E29" s="1"/>
    </row>
    <row r="30" spans="1:5" ht="15" customHeight="1" x14ac:dyDescent="0.25">
      <c r="A30" s="1"/>
      <c r="B30" s="69"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-306338</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0" t="s">
        <v>290</v>
      </c>
      <c r="C37" s="28"/>
      <c r="D37" s="19"/>
      <c r="E37" s="1"/>
    </row>
    <row r="38" spans="1:5" x14ac:dyDescent="0.25">
      <c r="A38" s="1"/>
      <c r="B38" s="69" t="s">
        <v>291</v>
      </c>
      <c r="C38" s="10">
        <v>1216351.5837382919</v>
      </c>
      <c r="D38" s="11" t="s">
        <v>3</v>
      </c>
      <c r="E38" s="1"/>
    </row>
    <row r="39" spans="1:5" x14ac:dyDescent="0.25">
      <c r="A39" s="1"/>
      <c r="B39" s="33" t="s">
        <v>108</v>
      </c>
      <c r="C39" s="49">
        <f>SUM(C34,C32,C24,C30,C22,C20,C36,C38)</f>
        <v>32084823.095875524</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7cC6drF0GSEHLlpeNaL2YlKCasXhtOXu3Zw9tUnf44R+HdsS3NIuzspqsO278bqsQc4jsCJTJYDDKyPnIZNvQ==" saltValue="gyfCisqPzkWqViq7jxifh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Txd+uk5ACr0BQeF6SGkzPfwWEKk64IXN1DK0U285cwikUN7IOsG+r0C/wlF9kXMIsqH6Z5hF7FgDKLJVrkpLg==" saltValue="TfdliwrH0POKIEcRFKmMH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30191321.12561883</v>
      </c>
      <c r="D9" s="8" t="s">
        <v>3</v>
      </c>
      <c r="E9" s="1"/>
    </row>
    <row r="10" spans="1:5" ht="15" customHeight="1" x14ac:dyDescent="0.25">
      <c r="A10" s="1"/>
      <c r="B10" s="26" t="s">
        <v>19</v>
      </c>
      <c r="C10" s="7">
        <f>SUM(C9:C9)*'Fane 15. Nøgletal'!C16</f>
        <v>2439458.7469500015</v>
      </c>
      <c r="D10" s="8" t="s">
        <v>3</v>
      </c>
      <c r="E10" s="1"/>
    </row>
    <row r="11" spans="1:5" ht="15" customHeight="1" x14ac:dyDescent="0.25">
      <c r="A11" s="1"/>
      <c r="B11" s="26" t="s">
        <v>10</v>
      </c>
      <c r="C11" s="9">
        <f>-SUM(C9:C10)*'Fane 5. Individuelt eff. krav'!G9</f>
        <v>-526400.32128022949</v>
      </c>
      <c r="D11" s="8" t="s">
        <v>3</v>
      </c>
      <c r="E11" s="1"/>
    </row>
    <row r="12" spans="1:5" ht="15" customHeight="1" x14ac:dyDescent="0.25">
      <c r="A12" s="1"/>
      <c r="B12" s="26" t="s">
        <v>23</v>
      </c>
      <c r="C12" s="9">
        <f>-'Fane 4.1. Gen. krav - drift'!G59</f>
        <v>-344602.73242246325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31759776.818866137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1062954.2481490867</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-306338</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32516393.067015223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BBrRpuTmZi3b1r9/zDyfH4/X9WwvG8e8eQ3WKoOuH0AsZYdD9ub+evA3VouJ4w/qRUT883/CWUiLdvlMYw1pw==" saltValue="KC68as/WdLjtbtou4/RVL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31759776.818866137</v>
      </c>
      <c r="D9" s="8" t="s">
        <v>3</v>
      </c>
      <c r="E9" s="1"/>
    </row>
    <row r="10" spans="1:5" ht="15" customHeight="1" x14ac:dyDescent="0.25">
      <c r="A10" s="1"/>
      <c r="B10" s="26" t="s">
        <v>19</v>
      </c>
      <c r="C10" s="7">
        <f>SUM(C9:C9)*'Fane 15. Nøgletal'!C16</f>
        <v>2566189.9669643836</v>
      </c>
      <c r="D10" s="8" t="s">
        <v>3</v>
      </c>
      <c r="E10" s="1"/>
    </row>
    <row r="11" spans="1:5" ht="15" customHeight="1" x14ac:dyDescent="0.25">
      <c r="A11" s="1"/>
      <c r="B11" s="26" t="s">
        <v>10</v>
      </c>
      <c r="C11" s="9">
        <f>-SUM(C9:C10)*'Fane 5. Individuelt eff. krav'!G9</f>
        <v>-553747.10671581596</v>
      </c>
      <c r="D11" s="8" t="s">
        <v>3</v>
      </c>
      <c r="E11" s="1"/>
    </row>
    <row r="12" spans="1:5" ht="15" customHeight="1" x14ac:dyDescent="0.25">
      <c r="A12" s="1"/>
      <c r="B12" s="26" t="s">
        <v>23</v>
      </c>
      <c r="C12" s="9">
        <f>-'Fane 4.1. Gen. krav - drift'!G64</f>
        <v>-364997.70053815423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33407221.978576552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1148840.9513995328</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34556062.929976083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50+MJinfTtSgs2xS/znGSIgZ3O8TXAp5sTvod3uJ1MAjSwtj+IYV7tlzs9fl2/PWxfAOjFJ+5lhkxzrdTpaZw==" saltValue="udoFLNlYe2mOvB9JEJgF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33407221.978576552</v>
      </c>
      <c r="D9" s="8" t="s">
        <v>3</v>
      </c>
      <c r="E9" s="1"/>
      <c r="F9" s="1"/>
    </row>
    <row r="10" spans="1:6" ht="15" customHeight="1" x14ac:dyDescent="0.25">
      <c r="A10" s="1"/>
      <c r="B10" s="26" t="s">
        <v>19</v>
      </c>
      <c r="C10" s="7">
        <f>SUM(C9:C9)*'Fane 15. Nøgletal'!C16</f>
        <v>2699303.5358689851</v>
      </c>
      <c r="D10" s="8" t="s">
        <v>3</v>
      </c>
      <c r="E10" s="1"/>
      <c r="F10" s="1"/>
    </row>
    <row r="11" spans="1:6" ht="15" customHeight="1" x14ac:dyDescent="0.25">
      <c r="A11" s="1"/>
      <c r="B11" s="26" t="s">
        <v>10</v>
      </c>
      <c r="C11" s="9">
        <f>-SUM(C9:C10)*'Fane 5. Individuelt eff. krav'!G9</f>
        <v>-582471.1117951182</v>
      </c>
      <c r="D11" s="8" t="s">
        <v>3</v>
      </c>
      <c r="E11" s="1"/>
      <c r="F11" s="1"/>
    </row>
    <row r="12" spans="1:6" ht="15" customHeight="1" x14ac:dyDescent="0.25">
      <c r="A12" s="1"/>
      <c r="B12" s="26" t="s">
        <v>23</v>
      </c>
      <c r="C12" s="9">
        <f>-'Fane 4.1. Gen. krav - drift'!G69</f>
        <v>-386599.72444680438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35137454.678203613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1241667.3002726149</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36379121.978476226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ee2TKX3YIZ/VExpPnYmTK/iS+llILOkw2B/s6LzKnEijs9jpeqnPeEmQdhEwrUpzIaH8DCgqJMno5ssEiytHZA==" saltValue="gslhCuUE0TUosrhvvCjZz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26093718.220268901</v>
      </c>
      <c r="D9" s="8" t="s">
        <v>3</v>
      </c>
      <c r="E9" s="1"/>
    </row>
    <row r="10" spans="1:5" x14ac:dyDescent="0.25">
      <c r="A10" s="1"/>
      <c r="B10" s="87" t="s">
        <v>36</v>
      </c>
      <c r="C10" s="7">
        <v>1446855.4008000002</v>
      </c>
      <c r="D10" s="8" t="s">
        <v>3</v>
      </c>
      <c r="E10" s="1"/>
    </row>
    <row r="11" spans="1:5" x14ac:dyDescent="0.25">
      <c r="A11" s="1"/>
      <c r="B11" s="87" t="s">
        <v>37</v>
      </c>
      <c r="C11" s="9">
        <v>1913488.476</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205737.51214096739</v>
      </c>
      <c r="D16" s="8" t="s">
        <v>3</v>
      </c>
      <c r="E16" s="1"/>
    </row>
    <row r="17" spans="1:5" x14ac:dyDescent="0.25">
      <c r="A17" s="1"/>
      <c r="B17" s="87" t="s">
        <v>10</v>
      </c>
      <c r="C17" s="41">
        <v>-593195.99218419741</v>
      </c>
      <c r="D17" s="8" t="s">
        <v>3</v>
      </c>
      <c r="E17" s="1"/>
    </row>
    <row r="18" spans="1:5" x14ac:dyDescent="0.25">
      <c r="A18" s="1"/>
      <c r="B18" s="87" t="s">
        <v>23</v>
      </c>
      <c r="C18" s="41">
        <v>-304360.62291144696</v>
      </c>
      <c r="D18" s="8" t="s">
        <v>3</v>
      </c>
      <c r="E18" s="1"/>
    </row>
    <row r="19" spans="1:5" x14ac:dyDescent="0.25">
      <c r="A19" s="1"/>
      <c r="B19" s="87" t="s">
        <v>24</v>
      </c>
      <c r="C19" s="41">
        <v>-201582.0940232471</v>
      </c>
      <c r="D19" s="8" t="s">
        <v>3</v>
      </c>
      <c r="E19" s="47"/>
    </row>
    <row r="20" spans="1:5" x14ac:dyDescent="0.25">
      <c r="A20" s="1"/>
      <c r="B20" s="81" t="s">
        <v>21</v>
      </c>
      <c r="C20" s="10">
        <v>28560660.900090981</v>
      </c>
      <c r="D20" s="11" t="s">
        <v>3</v>
      </c>
      <c r="E20" s="1"/>
    </row>
    <row r="21" spans="1:5" x14ac:dyDescent="0.25">
      <c r="A21" s="1"/>
      <c r="B21" s="33" t="s">
        <v>12</v>
      </c>
      <c r="C21" s="28"/>
      <c r="D21" s="19"/>
      <c r="E21" s="1"/>
    </row>
    <row r="22" spans="1:5" x14ac:dyDescent="0.25">
      <c r="A22" s="1"/>
      <c r="B22" s="31" t="s">
        <v>12</v>
      </c>
      <c r="C22" s="10">
        <v>1583045.4758140801</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6">
        <v>0</v>
      </c>
      <c r="D26" s="8" t="s">
        <v>3</v>
      </c>
      <c r="E26" s="1"/>
    </row>
    <row r="27" spans="1:5" x14ac:dyDescent="0.25">
      <c r="A27" s="1"/>
      <c r="B27" s="87" t="s">
        <v>70</v>
      </c>
      <c r="C27" s="66">
        <v>0</v>
      </c>
      <c r="D27" s="8" t="s">
        <v>3</v>
      </c>
      <c r="E27" s="1"/>
    </row>
    <row r="28" spans="1:5" x14ac:dyDescent="0.25">
      <c r="A28" s="1"/>
      <c r="B28" s="87" t="s">
        <v>161</v>
      </c>
      <c r="C28" s="66">
        <v>0</v>
      </c>
      <c r="D28" s="8" t="s">
        <v>3</v>
      </c>
      <c r="E28" s="1"/>
    </row>
    <row r="29" spans="1:5" x14ac:dyDescent="0.25">
      <c r="A29" s="1"/>
      <c r="B29" s="87" t="s">
        <v>162</v>
      </c>
      <c r="C29" s="66">
        <v>0</v>
      </c>
      <c r="D29" s="8" t="s">
        <v>3</v>
      </c>
      <c r="E29" s="1"/>
    </row>
    <row r="30" spans="1:5" x14ac:dyDescent="0.25">
      <c r="A30" s="1"/>
      <c r="B30" s="69" t="s">
        <v>75</v>
      </c>
      <c r="C30" s="10">
        <v>0</v>
      </c>
      <c r="D30" s="11" t="s">
        <v>3</v>
      </c>
      <c r="E30" s="1"/>
    </row>
    <row r="31" spans="1:5" x14ac:dyDescent="0.25">
      <c r="A31" s="1"/>
      <c r="B31" s="33" t="s">
        <v>116</v>
      </c>
      <c r="C31" s="28"/>
      <c r="D31" s="19"/>
      <c r="E31" s="1"/>
    </row>
    <row r="32" spans="1:5" x14ac:dyDescent="0.25">
      <c r="A32" s="1"/>
      <c r="B32" s="31" t="s">
        <v>138</v>
      </c>
      <c r="C32" s="10">
        <v>12963.035954201594</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9">
        <v>30156669.411859263</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seSxQt0LzfKSyIt7+Xwf0NFE/ecH14uWi6b6zG+huug+z6FjlAnVFxFtqNlYZA4zte2yeuzwunwMHBXKzu+6Q==" saltValue="JGb0+jK8fiEzkJb8mKPqO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12324745.050346678</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246494.90100693356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12289619.526953191</v>
      </c>
      <c r="H11" s="14" t="s">
        <v>3</v>
      </c>
      <c r="I11" s="1"/>
    </row>
    <row r="12" spans="1:9" ht="15" customHeight="1" x14ac:dyDescent="0.25">
      <c r="A12" s="1"/>
      <c r="B12" s="119" t="s">
        <v>103</v>
      </c>
      <c r="C12" s="120"/>
      <c r="D12" s="120"/>
      <c r="E12" s="120"/>
      <c r="F12" s="121"/>
      <c r="G12" s="66">
        <v>0</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245792.39053906381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12254594.111301376</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245091.88222602752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12246089.422988134</v>
      </c>
      <c r="H25" s="14" t="s">
        <v>3</v>
      </c>
      <c r="I25" s="1"/>
    </row>
    <row r="26" spans="1:9" x14ac:dyDescent="0.25">
      <c r="A26" s="1"/>
      <c r="B26" s="122" t="s">
        <v>246</v>
      </c>
      <c r="C26" s="123"/>
      <c r="D26" s="123"/>
      <c r="E26" s="123"/>
      <c r="F26" s="124"/>
      <c r="G26" s="66">
        <v>1340104.8850942501</v>
      </c>
      <c r="H26" s="14" t="s">
        <v>3</v>
      </c>
      <c r="I26" s="1"/>
    </row>
    <row r="27" spans="1:9" x14ac:dyDescent="0.25">
      <c r="A27" s="1"/>
      <c r="B27" s="119" t="s">
        <v>45</v>
      </c>
      <c r="C27" s="120"/>
      <c r="D27" s="120"/>
      <c r="E27" s="120"/>
      <c r="F27" s="121"/>
      <c r="G27" s="23">
        <f>(G25+G26)*'Fane 15. Nøgletal'!C33</f>
        <v>271723.88616164768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13576765.489232574</v>
      </c>
      <c r="H31" s="14" t="s">
        <v>3</v>
      </c>
      <c r="I31" s="1"/>
    </row>
    <row r="32" spans="1:9" x14ac:dyDescent="0.25">
      <c r="A32" s="1"/>
      <c r="B32" s="119" t="s">
        <v>243</v>
      </c>
      <c r="C32" s="120"/>
      <c r="D32" s="120"/>
      <c r="E32" s="120"/>
      <c r="F32" s="121"/>
      <c r="G32" s="63">
        <v>570566.12625179999</v>
      </c>
      <c r="H32" s="14" t="s">
        <v>3</v>
      </c>
      <c r="I32" s="1"/>
    </row>
    <row r="33" spans="1:9" x14ac:dyDescent="0.25">
      <c r="A33" s="1"/>
      <c r="B33" s="119" t="s">
        <v>54</v>
      </c>
      <c r="C33" s="120"/>
      <c r="D33" s="120"/>
      <c r="E33" s="120"/>
      <c r="F33" s="121"/>
      <c r="G33" s="23">
        <f>(G31+G32)*'Fane 15. Nøgletal'!C33</f>
        <v>282946.6323096875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13910137.453619163</v>
      </c>
      <c r="H37" s="14" t="s">
        <v>3</v>
      </c>
      <c r="I37" s="1"/>
    </row>
    <row r="38" spans="1:9" x14ac:dyDescent="0.25">
      <c r="A38" s="1"/>
      <c r="B38" s="119" t="s">
        <v>242</v>
      </c>
      <c r="C38" s="120"/>
      <c r="D38" s="120"/>
      <c r="E38" s="120"/>
      <c r="F38" s="121"/>
      <c r="G38" s="63">
        <v>43476.53094999001</v>
      </c>
      <c r="H38" s="14" t="s">
        <v>3</v>
      </c>
      <c r="I38" s="1"/>
    </row>
    <row r="39" spans="1:9" x14ac:dyDescent="0.25">
      <c r="A39" s="1"/>
      <c r="B39" s="119" t="s">
        <v>128</v>
      </c>
      <c r="C39" s="120"/>
      <c r="D39" s="120"/>
      <c r="E39" s="120"/>
      <c r="F39" s="121"/>
      <c r="G39" s="23">
        <f>(G37+G38)*'Fane 15. Nøgletal'!C33</f>
        <v>279072.27969138307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13719667.692503868</v>
      </c>
      <c r="H43" s="14" t="s">
        <v>3</v>
      </c>
      <c r="I43" s="1"/>
    </row>
    <row r="44" spans="1:9" x14ac:dyDescent="0.25">
      <c r="A44" s="1"/>
      <c r="B44" s="125" t="s">
        <v>157</v>
      </c>
      <c r="C44" s="126"/>
      <c r="D44" s="126"/>
      <c r="E44" s="126"/>
      <c r="F44" s="127"/>
      <c r="G44" s="45">
        <v>1498363.4530684804</v>
      </c>
      <c r="H44" s="14" t="s">
        <v>3</v>
      </c>
      <c r="I44" s="1"/>
    </row>
    <row r="45" spans="1:9" x14ac:dyDescent="0.25">
      <c r="A45" s="1"/>
      <c r="B45" s="119" t="s">
        <v>129</v>
      </c>
      <c r="C45" s="120"/>
      <c r="D45" s="120"/>
      <c r="E45" s="120"/>
      <c r="F45" s="121"/>
      <c r="G45" s="23">
        <f>SUM(G43:G44)*'Fane 15. Nøgletal'!C33</f>
        <v>304360.62291144696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16118695.100891901</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148673.572656</v>
      </c>
      <c r="H53" s="14" t="s">
        <v>3</v>
      </c>
      <c r="I53" s="1"/>
    </row>
    <row r="54" spans="1:9" x14ac:dyDescent="0.25">
      <c r="A54" s="1"/>
      <c r="B54" s="119" t="s">
        <v>210</v>
      </c>
      <c r="C54" s="120"/>
      <c r="D54" s="120"/>
      <c r="E54" s="120"/>
      <c r="F54" s="121"/>
      <c r="G54" s="23">
        <f>(G52)*'Fane 15. Nøgletal'!C33+(G53)*'Fane 15. Nøgletal'!C33</f>
        <v>325347.37347095803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17230136.621123161</v>
      </c>
      <c r="H58" s="14" t="s">
        <v>3</v>
      </c>
      <c r="I58" s="1"/>
    </row>
    <row r="59" spans="1:9" x14ac:dyDescent="0.25">
      <c r="A59" s="1"/>
      <c r="B59" s="77" t="s">
        <v>211</v>
      </c>
      <c r="C59" s="78"/>
      <c r="D59" s="78"/>
      <c r="E59" s="78"/>
      <c r="F59" s="79"/>
      <c r="G59" s="23">
        <f>(G58)*'Fane 15. Nøgletal'!C33</f>
        <v>344602.73242246325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18249885.026907712</v>
      </c>
      <c r="H63" s="14" t="s">
        <v>3</v>
      </c>
      <c r="I63" s="1"/>
    </row>
    <row r="64" spans="1:9" x14ac:dyDescent="0.25">
      <c r="A64" s="1"/>
      <c r="B64" s="77" t="s">
        <v>214</v>
      </c>
      <c r="C64" s="78"/>
      <c r="D64" s="78"/>
      <c r="E64" s="78"/>
      <c r="F64" s="79"/>
      <c r="G64" s="23">
        <f>(G63)*'Fane 15. Nøgletal'!C33</f>
        <v>364997.70053815423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19329986.222340219</v>
      </c>
      <c r="H68" s="14" t="s">
        <v>3</v>
      </c>
      <c r="I68" s="1"/>
    </row>
    <row r="69" spans="1:9" x14ac:dyDescent="0.25">
      <c r="A69" s="1"/>
      <c r="B69" s="77" t="s">
        <v>214</v>
      </c>
      <c r="C69" s="78"/>
      <c r="D69" s="78"/>
      <c r="E69" s="78"/>
      <c r="F69" s="79"/>
      <c r="G69" s="23">
        <f>(G68)*'Fane 15. Nøgletal'!C33</f>
        <v>386599.72444680438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qey5zbuQsPtpd3dDxTjQ6g2z67n4Y2jdbpGooVk+bH1WzitPI9AR4mKYSzXh8XQU8sBwgNSPFm+sLRfPFbto2Q==" saltValue="YHK8e7T5uY8/u91N1KCgn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10561194.643293073</v>
      </c>
      <c r="H5" s="14" t="s">
        <v>3</v>
      </c>
      <c r="I5" s="1"/>
    </row>
    <row r="6" spans="1:9" x14ac:dyDescent="0.25">
      <c r="A6" s="1"/>
      <c r="B6" s="119" t="s">
        <v>51</v>
      </c>
      <c r="C6" s="120"/>
      <c r="D6" s="120"/>
      <c r="E6" s="120"/>
      <c r="F6" s="121"/>
      <c r="G6" s="23">
        <f>G5*'Fane 15. Nøgletal'!C21</f>
        <v>96106.87125396698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10648226.808049791</v>
      </c>
      <c r="H10" s="14" t="s">
        <v>3</v>
      </c>
      <c r="I10" s="1"/>
    </row>
    <row r="11" spans="1:9" x14ac:dyDescent="0.25">
      <c r="A11" s="1"/>
      <c r="B11" s="119" t="s">
        <v>104</v>
      </c>
      <c r="C11" s="120"/>
      <c r="D11" s="120"/>
      <c r="E11" s="120"/>
      <c r="F11" s="121"/>
      <c r="G11" s="63">
        <v>2433855.3489548289</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231552.85417898177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13075413.565625086</v>
      </c>
      <c r="H17" s="14" t="s">
        <v>3</v>
      </c>
      <c r="I17" s="1"/>
    </row>
    <row r="18" spans="1:9" x14ac:dyDescent="0.25">
      <c r="A18" s="1"/>
      <c r="B18" s="122" t="s">
        <v>248</v>
      </c>
      <c r="C18" s="123"/>
      <c r="D18" s="123"/>
      <c r="E18" s="123"/>
      <c r="F18" s="124"/>
      <c r="G18" s="63">
        <v>0</v>
      </c>
      <c r="H18" s="14" t="s">
        <v>3</v>
      </c>
      <c r="I18" s="1"/>
    </row>
    <row r="19" spans="1:9" x14ac:dyDescent="0.25">
      <c r="A19" s="1"/>
      <c r="B19" s="119" t="s">
        <v>61</v>
      </c>
      <c r="C19" s="120"/>
      <c r="D19" s="120"/>
      <c r="E19" s="120"/>
      <c r="F19" s="121"/>
      <c r="G19" s="23">
        <f>G17*'Fane 15. Nøgletal'!C22+G18*'Fane 15. Nøgletal'!C23</f>
        <v>231434.82011156404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13097005.12680014</v>
      </c>
      <c r="H23" s="14" t="s">
        <v>3</v>
      </c>
      <c r="I23" s="1"/>
    </row>
    <row r="24" spans="1:9" x14ac:dyDescent="0.25">
      <c r="A24" s="1"/>
      <c r="B24" s="122" t="s">
        <v>249</v>
      </c>
      <c r="C24" s="123"/>
      <c r="D24" s="123"/>
      <c r="E24" s="123"/>
      <c r="F24" s="124"/>
      <c r="G24" s="63">
        <v>1170787.1442431672</v>
      </c>
      <c r="H24" s="14" t="s">
        <v>3</v>
      </c>
      <c r="I24" s="1"/>
    </row>
    <row r="25" spans="1:9" x14ac:dyDescent="0.25">
      <c r="A25" s="1"/>
      <c r="B25" s="119" t="s">
        <v>64</v>
      </c>
      <c r="C25" s="120"/>
      <c r="D25" s="120"/>
      <c r="E25" s="120"/>
      <c r="F25" s="121"/>
      <c r="G25" s="23">
        <f>(G23+G24)*'Fane 15. Nøgletal'!C24</f>
        <v>405205.30049762997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14135679.933865428</v>
      </c>
      <c r="H29" s="14" t="s">
        <v>3</v>
      </c>
      <c r="I29" s="1"/>
    </row>
    <row r="30" spans="1:9" x14ac:dyDescent="0.25">
      <c r="A30" s="1"/>
      <c r="B30" s="119" t="s">
        <v>250</v>
      </c>
      <c r="C30" s="120"/>
      <c r="D30" s="120"/>
      <c r="E30" s="120"/>
      <c r="F30" s="121"/>
      <c r="G30" s="63">
        <v>0</v>
      </c>
      <c r="H30" s="14" t="s">
        <v>3</v>
      </c>
      <c r="I30" s="1"/>
    </row>
    <row r="31" spans="1:9" x14ac:dyDescent="0.25">
      <c r="A31" s="1"/>
      <c r="B31" s="119" t="s">
        <v>67</v>
      </c>
      <c r="C31" s="120"/>
      <c r="D31" s="120"/>
      <c r="E31" s="120"/>
      <c r="F31" s="121"/>
      <c r="G31" s="23">
        <f>G29*'Fane 15. Nøgletal'!C24+G30*'Fane 15. Nøgletal'!C25</f>
        <v>401453.31012177817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13779549.571602006</v>
      </c>
      <c r="H35" s="14" t="s">
        <v>3</v>
      </c>
      <c r="I35" s="1"/>
    </row>
    <row r="36" spans="1:9" x14ac:dyDescent="0.25">
      <c r="A36" s="1"/>
      <c r="B36" s="119" t="s">
        <v>251</v>
      </c>
      <c r="C36" s="120"/>
      <c r="D36" s="120"/>
      <c r="E36" s="120"/>
      <c r="F36" s="121"/>
      <c r="G36" s="63">
        <v>0</v>
      </c>
      <c r="H36" s="14" t="s">
        <v>3</v>
      </c>
      <c r="I36" s="1"/>
    </row>
    <row r="37" spans="1:9" x14ac:dyDescent="0.25">
      <c r="A37" s="1"/>
      <c r="B37" s="119" t="s">
        <v>131</v>
      </c>
      <c r="C37" s="120"/>
      <c r="D37" s="120"/>
      <c r="E37" s="120"/>
      <c r="F37" s="121"/>
      <c r="G37" s="23">
        <f>(G35+G36)*'Fane 15. Nøgletal'!C26</f>
        <v>203937.33365970969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13620411.758327506</v>
      </c>
      <c r="H41" s="14" t="s">
        <v>3</v>
      </c>
      <c r="I41" s="1"/>
    </row>
    <row r="42" spans="1:9" x14ac:dyDescent="0.25">
      <c r="A42" s="1"/>
      <c r="B42" s="40" t="s">
        <v>156</v>
      </c>
      <c r="C42" s="78"/>
      <c r="D42" s="78"/>
      <c r="E42" s="78"/>
      <c r="F42" s="79"/>
      <c r="G42" s="71">
        <v>1981608.6657456001</v>
      </c>
      <c r="H42" s="14" t="s">
        <v>3</v>
      </c>
      <c r="I42" s="1"/>
    </row>
    <row r="43" spans="1:9" x14ac:dyDescent="0.25">
      <c r="A43" s="1"/>
      <c r="B43" s="119" t="s">
        <v>132</v>
      </c>
      <c r="C43" s="120"/>
      <c r="D43" s="120"/>
      <c r="E43" s="120"/>
      <c r="F43" s="121"/>
      <c r="G43" s="23">
        <f>(G41)*'Fane 15. Nøgletal'!C26+G42*'Fane 15. Nøgletal'!C27</f>
        <v>201582.0940232471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16644793.74711789</v>
      </c>
      <c r="H53" s="14" t="s">
        <v>3</v>
      </c>
      <c r="I53" s="1"/>
    </row>
    <row r="54" spans="1:9" x14ac:dyDescent="0.25">
      <c r="A54" s="1"/>
      <c r="B54" s="77" t="s">
        <v>195</v>
      </c>
      <c r="C54" s="78"/>
      <c r="D54" s="78"/>
      <c r="E54" s="78"/>
      <c r="F54" s="79"/>
      <c r="G54" s="63">
        <v>0</v>
      </c>
      <c r="H54" s="14" t="s">
        <v>3</v>
      </c>
      <c r="I54" s="1"/>
    </row>
    <row r="55" spans="1:9" x14ac:dyDescent="0.25">
      <c r="A55" s="1"/>
      <c r="B55" s="119" t="s">
        <v>218</v>
      </c>
      <c r="C55" s="120"/>
      <c r="D55" s="120"/>
      <c r="E55" s="120"/>
      <c r="F55" s="121"/>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17989693.081885014</v>
      </c>
      <c r="H59" s="14" t="s">
        <v>3</v>
      </c>
      <c r="I59" s="1"/>
    </row>
    <row r="60" spans="1:9" x14ac:dyDescent="0.25">
      <c r="A60" s="1"/>
      <c r="B60" s="119" t="s">
        <v>220</v>
      </c>
      <c r="C60" s="120"/>
      <c r="D60" s="120"/>
      <c r="E60" s="120"/>
      <c r="F60" s="121"/>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19443260.282901324</v>
      </c>
      <c r="H64" s="14" t="s">
        <v>3</v>
      </c>
      <c r="I64" s="1"/>
    </row>
    <row r="65" spans="1:9" x14ac:dyDescent="0.25">
      <c r="A65" s="1"/>
      <c r="B65" s="119" t="s">
        <v>222</v>
      </c>
      <c r="C65" s="120"/>
      <c r="D65" s="120"/>
      <c r="E65" s="120"/>
      <c r="F65" s="121"/>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21014275.71375975</v>
      </c>
      <c r="H69" s="14" t="s">
        <v>3</v>
      </c>
      <c r="I69" s="1"/>
    </row>
    <row r="70" spans="1:9" x14ac:dyDescent="0.25">
      <c r="A70" s="1"/>
      <c r="B70" s="119" t="s">
        <v>222</v>
      </c>
      <c r="C70" s="120"/>
      <c r="D70" s="120"/>
      <c r="E70" s="120"/>
      <c r="F70" s="121"/>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xplZsMOxTbZwJ6mXOKHDgpEmxbpy/4drd7Evhx8id9K+Ulx4Q1+yKL95+fgNyfwEeYcTz9CJthOJsvc2u/R/uw==" saltValue="9IlVen1dL1ynDZwiwESLB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1.6132017786150112E-2</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h/pg0+Ud7/x2EOtvBhpMlsETZvtHOCmJO4GQ54HuXRe6bTqOxz5Aqz7E28Lq4nxWtfuWRdHZnQ0eRycZRSLsrw==" saltValue="BMK3dfRtCMbpCxVQtGA31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2023-11-10T20:02:31Z</dcterms:modified>
</cp:coreProperties>
</file>