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Hørsholm AS (S05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E25" i="32" l="1"/>
  <c r="C16" i="15" l="1"/>
  <c r="C22" i="2"/>
  <c r="E33" i="32" l="1"/>
  <c r="E35" i="32" s="1"/>
  <c r="C20" i="23" l="1"/>
  <c r="C20" i="22"/>
  <c r="C20" i="15"/>
  <c r="E29" i="32"/>
  <c r="C32" i="2" s="1"/>
  <c r="E12" i="37"/>
  <c r="E11" i="37"/>
  <c r="C15"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<sst xmlns="http://schemas.openxmlformats.org/spreadsheetml/2006/main" count="614" uniqueCount="292">
  <si>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</si>
  <si>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</si>
  <si>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</si>
  <si>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</si>
  <si>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</si>
  <si>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</si>
  <si>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</si>
  <si>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</si>
  <si>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</si>
  <si>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</si>
  <si>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</si>
  <si>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</si>
  <si>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</si>
  <si>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</si>
  <si>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</si>
  <si>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</si>
  <si>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</si>
  <si>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</si>
  <si>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</si>
  <si>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</si>
  <si>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</si>
  <si>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</si>
  <si>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</si>
  <si>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</si>
  <si>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</si>
  <si>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</si>
  <si>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</si>
  <si>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</si>
  <si>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</si>
  <si>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</si>
  <si>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</si>
  <si>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</si>
  <si>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</si>
  <si>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</si>
  <si>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</si>
  <si>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</si>
  <si>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</si>
  <si>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</si>
  <si>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</si>
  <si>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</si>
  <si>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</si>
  <si>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</si>
  <si>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</si>
  <si>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</si>
  <si>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</si>
  <si>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</si>
  <si>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</si>
  <si>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</si>
  <si>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</si>
  <si>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</si>
  <si>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</si>
  <si>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</si>
  <si>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</si>
  <si>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</si>
  <si>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</si>
  <si>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</si>
  <si>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</si>
  <si>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</si>
  <si>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</si>
  <si>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</si>
  <si>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</si>
  <si>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</si>
  <si>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</si>
  <si>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</si>
  <si>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</si>
  <si>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</si>
  <si>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</si>
  <si>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</si>
  <si>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</si>
  <si>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</si>
  <si>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</si>
  <si>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</si>
  <si>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</si>
  <si>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</si>
  <si>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</si>
  <si>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</si>
  <si>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</si>
  <si>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</si>
  <si>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</si>
  <si>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</si>
  <si>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</si>
  <si>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</si>
  <si>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</si>
  <si>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</si>
  <si>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</si>
  <si>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</si>
  <si>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</si>
  <si>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</si>
  <si>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</si>
  <si>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</si>
  <si>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</si>
  <si>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</si>
  <si>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</si>
  <si>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</si>
  <si>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</si>
  <si>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</si>
  <si>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</si>
  <si>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</si>
  <si>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</si>
  <si>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</si>
  <si>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</si>
  <si>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</si>
  <si>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</si>
  <si>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</si>
  <si>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</si>
  <si>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</si>
  <si>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</si>
  <si>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</si>
  <si>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</si>
  <si>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</si>
  <si>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</si>
  <si>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</si>
  <si>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</si>
  <si>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</si>
  <si>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</si>
  <si>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</si>
  <si>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</si>
  <si>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</si>
  <si>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</si>
  <si>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</si>
  <si>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</si>
  <si>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</si>
  <si>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</si>
  <si>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</si>
  <si>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</si>
  <si>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</si>
  <si>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</si>
  <si>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</si>
  <si>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</si>
  <si>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</si>
  <si>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</si>
  <si>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</si>
  <si>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</si>
  <si>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</si>
  <si>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</si>
  <si>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</si>
  <si>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</si>
  <si>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</si>
  <si>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</si>
  <si>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</si>
  <si>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</si>
  <si>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</si>
  <si>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</si>
  <si>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</si>
  <si>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</si>
  <si>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</si>
  <si>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</si>
  <si>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</si>
  <si>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</si>
  <si>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</si>
  <si>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</si>
  <si>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</si>
  <si>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</si>
  <si>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</si>
  <si>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</si>
  <si>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</si>
  <si>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</si>
  <si>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</si>
  <si>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</si>
  <si>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</si>
  <si>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</si>
  <si>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</si>
  <si>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</si>
  <si>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</si>
  <si>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</si>
  <si>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</si>
  <si>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</si>
  <si>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</si>
  <si>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</si>
  <si>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</si>
  <si>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</si>
  <si>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</si>
  <si>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</si>
  <si>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</si>
  <si>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</si>
  <si>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</si>
  <si>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</si>
  <si>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</si>
  <si>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</si>
  <si>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</si>
  <si>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</si>
  <si>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</si>
  <si>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</si>
  <si>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</si>
  <si>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</si>
  <si>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</si>
  <si>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</si>
  <si>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</si>
  <si>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</si>
  <si>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</si>
  <si>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</si>
  <si>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</si>
  <si>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</si>
  <si>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</si>
  <si>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</si>
  <si>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</si>
  <si>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</si>
  <si>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</si>
  <si>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</si>
  <si>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</si>
  <si>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</si>
  <si>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</si>
  <si>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</si>
  <si>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</si>
  <si>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</si>
  <si>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</si>
  <si>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</si>
  <si>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</si>
  <si>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</si>
  <si>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</si>
  <si>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</si>
  <si>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</si>
  <si>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</si>
  <si>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</si>
  <si>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</si>
  <si>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</si>
  <si>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</si>
  <si>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</si>
  <si>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</si>
  <si>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</si>
  <si>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</si>
  <si>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</si>
  <si>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</si>
  <si>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</si>
  <si>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</si>
  <si>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</si>
  <si>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</si>
  <si>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</si>
  <si>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</si>
  <si>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</si>
  <si>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</si>
  <si>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</si>
  <si>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</si>
  <si>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</si>
  <si>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</si>
  <si>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</si>
  <si>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</si>
  <si>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</si>
  <si>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</si>
  <si>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</si>
  <si>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</si>
  <si>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</si>
  <si>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</si>
  <si>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</si>
  <si>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</si>
  <si>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</si>
  <si>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</si>
  <si>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</si>
  <si>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</si>
  <si>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</si>
  <si>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</si>
  <si>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</si>
  <si>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</si>
  <si>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</si>
  <si>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</si>
  <si>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</si>
  <si>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</si>
  <si>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</si>
  <si>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</si>
  <si>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</si>
  <si>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</si>
  <si>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</si>
  <si>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</si>
  <si>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</si>
  <si>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</si>
  <si>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</si>
  <si>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</si>
  <si>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</si>
  <si>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</si>
  <si>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</si>
  <si>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</si>
  <si>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</si>
  <si>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</si>
  <si>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</si>
  <si>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</si>
  <si>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</si>
  <si>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</si>
  <si>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</si>
  <si>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</si>
  <si>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</si>
  <si>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</si>
  <si>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Flytning af ledninger</t>
  </si>
  <si>
    <t>Stiketablering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</si>
  <si>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</si>
  <si>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</si>
  <si>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</si>
  <si>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</si>
  <si>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</si>
  <si>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</si>
  <si>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</si>
  <si>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Ingen engangstillæg</t>
  </si>
  <si>
    <t>Dispensation fra den økonomiske ramme jf. §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</si>
</sst>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9" t="s">
        <v>4</v>
      </c>
      <c r="E6" s="109"/>
      <c r="F6" s="109"/>
      <c r="G6" s="109"/>
      <c r="H6" s="3"/>
      <c r="I6" s="1"/>
    </row>
    <row r="7" spans="1:9" ht="15" customHeight="1" x14ac:dyDescent="0.25">
      <c r="A7" s="1"/>
      <c r="B7" s="1"/>
      <c r="C7" s="3"/>
      <c r="D7" s="109"/>
      <c r="E7" s="109"/>
      <c r="F7" s="109"/>
      <c r="G7" s="109"/>
      <c r="H7" s="3"/>
      <c r="I7" s="1"/>
    </row>
    <row r="8" spans="1:9" ht="15.75" x14ac:dyDescent="0.25">
      <c r="A8" s="1"/>
      <c r="B8" s="1"/>
      <c r="C8" s="4"/>
      <c r="D8" s="114" t="s">
        <v>225</v>
      </c>
      <c r="E8" s="114"/>
      <c r="F8" s="114"/>
      <c r="G8" s="114"/>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3" t="s">
        <v>5</v>
      </c>
      <c r="E11" s="113"/>
      <c r="F11" s="113"/>
      <c r="G11" s="113"/>
      <c r="H11" s="5"/>
      <c r="I11" s="1"/>
    </row>
    <row r="12" spans="1:9" x14ac:dyDescent="0.25">
      <c r="A12" s="1"/>
      <c r="B12" s="1"/>
      <c r="C12" s="1"/>
      <c r="D12" s="1"/>
      <c r="E12" s="1"/>
      <c r="F12" s="1"/>
      <c r="G12" s="1"/>
      <c r="H12" s="5"/>
      <c r="I12" s="1"/>
    </row>
    <row r="13" spans="1:9" x14ac:dyDescent="0.25">
      <c r="A13" s="1"/>
      <c r="B13" s="1"/>
      <c r="C13" s="6" t="s">
        <v>6</v>
      </c>
      <c r="D13" s="115" t="s">
        <v>169</v>
      </c>
      <c r="E13" s="116"/>
      <c r="F13" s="116"/>
      <c r="G13" s="117"/>
      <c r="H13" s="5"/>
      <c r="I13" s="1"/>
    </row>
    <row r="14" spans="1:9" x14ac:dyDescent="0.25">
      <c r="A14" s="1"/>
      <c r="B14" s="1"/>
      <c r="C14" s="6" t="s">
        <v>16</v>
      </c>
      <c r="D14" s="106" t="s">
        <v>235</v>
      </c>
      <c r="E14" s="107"/>
      <c r="F14" s="107"/>
      <c r="G14" s="108"/>
      <c r="H14" s="5"/>
      <c r="I14" s="1"/>
    </row>
    <row r="15" spans="1:9" x14ac:dyDescent="0.25">
      <c r="A15" s="1"/>
      <c r="B15" s="1"/>
      <c r="C15" s="6" t="s">
        <v>34</v>
      </c>
      <c r="D15" s="106" t="s">
        <v>170</v>
      </c>
      <c r="E15" s="107"/>
      <c r="F15" s="107"/>
      <c r="G15" s="108"/>
      <c r="H15" s="5"/>
      <c r="I15" s="1"/>
    </row>
    <row r="16" spans="1:9" x14ac:dyDescent="0.25">
      <c r="A16" s="1"/>
      <c r="B16" s="1"/>
      <c r="C16" s="6" t="s">
        <v>35</v>
      </c>
      <c r="D16" s="106" t="s">
        <v>182</v>
      </c>
      <c r="E16" s="107"/>
      <c r="F16" s="107"/>
      <c r="G16" s="108"/>
      <c r="H16" s="5"/>
      <c r="I16" s="1"/>
    </row>
    <row r="17" spans="1:9" x14ac:dyDescent="0.25">
      <c r="A17" s="1"/>
      <c r="B17" s="1"/>
      <c r="C17" s="6" t="s">
        <v>119</v>
      </c>
      <c r="D17" s="106" t="s">
        <v>183</v>
      </c>
      <c r="E17" s="107"/>
      <c r="F17" s="107"/>
      <c r="G17" s="108"/>
      <c r="H17" s="5"/>
      <c r="I17" s="1"/>
    </row>
    <row r="18" spans="1:9" x14ac:dyDescent="0.25">
      <c r="A18" s="1"/>
      <c r="B18" s="1"/>
      <c r="C18" s="6" t="s">
        <v>106</v>
      </c>
      <c r="D18" s="103" t="s">
        <v>95</v>
      </c>
      <c r="E18" s="104"/>
      <c r="F18" s="104"/>
      <c r="G18" s="105"/>
      <c r="H18" s="5"/>
      <c r="I18" s="1"/>
    </row>
    <row r="19" spans="1:9" x14ac:dyDescent="0.25">
      <c r="A19" s="1"/>
      <c r="B19" s="1"/>
      <c r="C19" s="6" t="s">
        <v>107</v>
      </c>
      <c r="D19" s="103" t="s">
        <v>96</v>
      </c>
      <c r="E19" s="104"/>
      <c r="F19" s="104"/>
      <c r="G19" s="105"/>
      <c r="H19" s="5"/>
      <c r="I19" s="1"/>
    </row>
    <row r="20" spans="1:9" x14ac:dyDescent="0.25">
      <c r="A20" s="1"/>
      <c r="B20" s="1"/>
      <c r="C20" s="6" t="s">
        <v>7</v>
      </c>
      <c r="D20" s="103" t="s">
        <v>10</v>
      </c>
      <c r="E20" s="104"/>
      <c r="F20" s="104"/>
      <c r="G20" s="105"/>
      <c r="H20" s="5"/>
      <c r="I20" s="1"/>
    </row>
    <row r="21" spans="1:9" x14ac:dyDescent="0.25">
      <c r="A21" s="1"/>
      <c r="B21" s="1"/>
      <c r="C21" s="6" t="s">
        <v>108</v>
      </c>
      <c r="D21" s="110" t="s">
        <v>12</v>
      </c>
      <c r="E21" s="111"/>
      <c r="F21" s="111"/>
      <c r="G21" s="112"/>
      <c r="H21" s="5"/>
      <c r="I21" s="1"/>
    </row>
    <row r="22" spans="1:9" x14ac:dyDescent="0.25">
      <c r="A22" s="1"/>
      <c r="B22" s="1"/>
      <c r="C22" s="6" t="s">
        <v>83</v>
      </c>
      <c r="D22" s="97" t="s">
        <v>184</v>
      </c>
      <c r="E22" s="98"/>
      <c r="F22" s="98"/>
      <c r="G22" s="99"/>
      <c r="H22" s="5"/>
      <c r="I22" s="1"/>
    </row>
    <row r="23" spans="1:9" x14ac:dyDescent="0.25">
      <c r="A23" s="1"/>
      <c r="B23" s="1"/>
      <c r="C23" s="6" t="s">
        <v>8</v>
      </c>
      <c r="D23" s="97" t="s">
        <v>253</v>
      </c>
      <c r="E23" s="98"/>
      <c r="F23" s="98"/>
      <c r="G23" s="99"/>
      <c r="H23" s="5"/>
      <c r="I23" s="1"/>
    </row>
    <row r="24" spans="1:9" x14ac:dyDescent="0.25">
      <c r="A24" s="1"/>
      <c r="B24" s="1"/>
      <c r="C24" s="6" t="s">
        <v>9</v>
      </c>
      <c r="D24" s="97" t="s">
        <v>185</v>
      </c>
      <c r="E24" s="98"/>
      <c r="F24" s="98"/>
      <c r="G24" s="99"/>
      <c r="H24" s="5"/>
      <c r="I24" s="1"/>
    </row>
    <row r="25" spans="1:9" x14ac:dyDescent="0.25">
      <c r="A25" s="1"/>
      <c r="B25" s="1"/>
      <c r="C25" s="6" t="s">
        <v>246</v>
      </c>
      <c r="D25" s="97" t="s">
        <v>237</v>
      </c>
      <c r="E25" s="98"/>
      <c r="F25" s="98"/>
      <c r="G25" s="99"/>
      <c r="H25" s="1"/>
      <c r="I25" s="1"/>
    </row>
    <row r="26" spans="1:9" x14ac:dyDescent="0.25">
      <c r="A26" s="1"/>
      <c r="B26" s="1"/>
      <c r="C26" s="6" t="s">
        <v>247</v>
      </c>
      <c r="D26" s="97" t="s">
        <v>84</v>
      </c>
      <c r="E26" s="98"/>
      <c r="F26" s="98"/>
      <c r="G26" s="99"/>
      <c r="H26" s="1"/>
      <c r="I26" s="1"/>
    </row>
    <row r="27" spans="1:9" x14ac:dyDescent="0.25">
      <c r="A27" s="1"/>
      <c r="B27" s="1"/>
      <c r="C27" s="6" t="s">
        <v>248</v>
      </c>
      <c r="D27" s="97" t="s">
        <v>85</v>
      </c>
      <c r="E27" s="98"/>
      <c r="F27" s="98"/>
      <c r="G27" s="99"/>
      <c r="H27" s="1"/>
      <c r="I27" s="1"/>
    </row>
    <row r="28" spans="1:9" x14ac:dyDescent="0.25">
      <c r="A28" s="1"/>
      <c r="B28" s="1"/>
      <c r="C28" s="6" t="s">
        <v>15</v>
      </c>
      <c r="D28" s="97" t="s">
        <v>86</v>
      </c>
      <c r="E28" s="98"/>
      <c r="F28" s="98"/>
      <c r="G28" s="99"/>
      <c r="H28" s="1"/>
      <c r="I28" s="1"/>
    </row>
    <row r="29" spans="1:9" x14ac:dyDescent="0.25">
      <c r="A29" s="1"/>
      <c r="B29" s="1"/>
      <c r="C29" s="6" t="s">
        <v>37</v>
      </c>
      <c r="D29" s="97" t="s">
        <v>134</v>
      </c>
      <c r="E29" s="98"/>
      <c r="F29" s="98"/>
      <c r="G29" s="99"/>
      <c r="H29" s="1"/>
      <c r="I29" s="1"/>
    </row>
    <row r="30" spans="1:9" x14ac:dyDescent="0.25">
      <c r="A30" s="1"/>
      <c r="B30" s="1"/>
      <c r="C30" s="6" t="s">
        <v>38</v>
      </c>
      <c r="D30" s="97" t="s">
        <v>36</v>
      </c>
      <c r="E30" s="98"/>
      <c r="F30" s="98"/>
      <c r="G30" s="99"/>
      <c r="H30" s="1"/>
      <c r="I30" s="1"/>
    </row>
    <row r="31" spans="1:9" x14ac:dyDescent="0.25">
      <c r="A31" s="1"/>
      <c r="B31" s="1"/>
      <c r="C31" s="6" t="s">
        <v>249</v>
      </c>
      <c r="D31" s="100" t="s">
        <v>105</v>
      </c>
      <c r="E31" s="101"/>
      <c r="F31" s="101"/>
      <c r="G31" s="10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09IZNFy+ZMhzoO8mMs03VRz9l6+kbVn37sVOjdH06UChpXy7RiNryMbLWJ9xKfnX0oEf4Of0ujz05aDIENaIw==" saltValue="5de7bUV3mLD1W9nJNmEJH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8" t="s">
        <v>111</v>
      </c>
      <c r="C3" s="118"/>
      <c r="D3" s="118"/>
      <c r="E3" s="1"/>
      <c r="F3" s="1"/>
    </row>
    <row r="4" spans="1:6" ht="15" customHeight="1" x14ac:dyDescent="0.25">
      <c r="A4" s="1"/>
      <c r="B4" s="118"/>
      <c r="C4" s="118"/>
      <c r="D4" s="11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199</v>
      </c>
      <c r="C8" s="131"/>
      <c r="D8" s="132"/>
      <c r="E8" s="1"/>
      <c r="F8" s="1"/>
    </row>
    <row r="9" spans="1:6" ht="15" customHeight="1" x14ac:dyDescent="0.25">
      <c r="A9" s="1"/>
      <c r="B9" s="26" t="s">
        <v>32</v>
      </c>
      <c r="C9" s="58" t="s">
        <v>240</v>
      </c>
      <c r="D9" s="11"/>
      <c r="E9" s="1"/>
      <c r="F9" s="1"/>
    </row>
    <row r="10" spans="1:6" x14ac:dyDescent="0.25">
      <c r="A10" s="1"/>
      <c r="B10" s="93" t="s">
        <v>265</v>
      </c>
      <c r="C10" s="9">
        <v>997494</v>
      </c>
      <c r="D10" s="14" t="s">
        <v>3</v>
      </c>
      <c r="E10" s="1"/>
      <c r="F10" s="1"/>
    </row>
    <row r="11" spans="1:6" x14ac:dyDescent="0.25">
      <c r="A11" s="1"/>
      <c r="B11" s="93" t="s">
        <v>266</v>
      </c>
      <c r="C11" s="9">
        <v>99868</v>
      </c>
      <c r="D11" s="14" t="s">
        <v>3</v>
      </c>
      <c r="E11" s="1"/>
      <c r="F11" s="1"/>
    </row>
    <row r="12" spans="1:6" x14ac:dyDescent="0.25">
      <c r="A12" s="1"/>
      <c r="B12" s="93" t="s">
        <v>267</v>
      </c>
      <c r="C12" s="9">
        <v>373264</v>
      </c>
      <c r="D12" s="14" t="s">
        <v>3</v>
      </c>
      <c r="E12" s="1"/>
      <c r="F12" s="1"/>
    </row>
    <row r="13" spans="1:6" x14ac:dyDescent="0.25">
      <c r="A13" s="1"/>
      <c r="B13" s="93" t="s">
        <v>268</v>
      </c>
      <c r="C13" s="9">
        <v>167469</v>
      </c>
      <c r="D13" s="14" t="s">
        <v>3</v>
      </c>
      <c r="E13" s="1"/>
      <c r="F13" s="1"/>
    </row>
    <row r="14" spans="1:6" x14ac:dyDescent="0.25">
      <c r="A14" s="1"/>
      <c r="B14" s="93" t="s">
        <v>269</v>
      </c>
      <c r="C14" s="9">
        <v>10815</v>
      </c>
      <c r="D14" s="14" t="s">
        <v>3</v>
      </c>
      <c r="E14" s="1"/>
      <c r="F14" s="1"/>
    </row>
    <row r="15" spans="1:6" x14ac:dyDescent="0.25">
      <c r="A15" s="1"/>
      <c r="B15" s="32" t="s">
        <v>200</v>
      </c>
      <c r="C15" s="12">
        <f>SUM(C10:C14)</f>
        <v>1648910</v>
      </c>
      <c r="D15" s="13" t="s">
        <v>3</v>
      </c>
      <c r="E15" s="1"/>
      <c r="F15" s="1"/>
    </row>
    <row r="16" spans="1:6" x14ac:dyDescent="0.25">
      <c r="A16" s="1"/>
      <c r="B16" s="32" t="s">
        <v>201</v>
      </c>
      <c r="C16" s="12">
        <f>C15*(1+'Fane 15. Nøgletal'!C15)^2</f>
        <v>1768402.1545776001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0" t="s">
        <v>117</v>
      </c>
      <c r="C19" s="131"/>
      <c r="D19" s="132"/>
      <c r="E19" s="1"/>
      <c r="F19" s="1"/>
    </row>
    <row r="20" spans="1:6" x14ac:dyDescent="0.25">
      <c r="A20" s="1"/>
      <c r="B20" s="93" t="s">
        <v>99</v>
      </c>
      <c r="C20" s="9">
        <v>587761</v>
      </c>
      <c r="D20" s="14" t="s">
        <v>3</v>
      </c>
      <c r="E20" s="1"/>
      <c r="F20" s="1"/>
    </row>
    <row r="21" spans="1:6" x14ac:dyDescent="0.25">
      <c r="A21" s="1"/>
      <c r="B21" s="93" t="s">
        <v>129</v>
      </c>
      <c r="C21" s="9">
        <v>590222</v>
      </c>
      <c r="D21" s="14" t="s">
        <v>3</v>
      </c>
      <c r="E21" s="1"/>
      <c r="F21" s="1"/>
    </row>
    <row r="22" spans="1:6" x14ac:dyDescent="0.25">
      <c r="A22" s="1"/>
      <c r="B22" s="93" t="s">
        <v>155</v>
      </c>
      <c r="C22" s="9">
        <v>592739</v>
      </c>
      <c r="D22" s="14" t="s">
        <v>3</v>
      </c>
      <c r="E22" s="1"/>
      <c r="F22" s="1"/>
    </row>
    <row r="23" spans="1:6" x14ac:dyDescent="0.25">
      <c r="A23" s="1"/>
      <c r="B23" s="33" t="s">
        <v>202</v>
      </c>
      <c r="C23" s="9">
        <v>595313</v>
      </c>
      <c r="D23" s="40" t="s">
        <v>3</v>
      </c>
      <c r="E23" s="1"/>
      <c r="F23" s="1"/>
    </row>
    <row r="24" spans="1:6" x14ac:dyDescent="0.25">
      <c r="A24" s="1"/>
      <c r="B24" s="130"/>
      <c r="C24" s="131"/>
      <c r="D24" s="132"/>
      <c r="E24" s="1"/>
      <c r="F24" s="1"/>
    </row>
    <row r="25" spans="1:6" x14ac:dyDescent="0.25">
      <c r="A25" s="1"/>
      <c r="B25" s="1"/>
      <c r="C25" s="1"/>
      <c r="D25" s="1"/>
      <c r="E25" s="1"/>
      <c r="F25" s="1"/>
    </row>
    <row r="26" spans="1:6" x14ac:dyDescent="0.25">
      <c r="A26" s="1"/>
      <c r="B26" s="1"/>
      <c r="C26" s="1"/>
      <c r="D26" s="1"/>
      <c r="E26" s="1"/>
      <c r="F26" s="1"/>
    </row>
    <row r="27" spans="1:6" x14ac:dyDescent="0.25">
      <c r="A27" s="1"/>
      <c r="B27" s="130" t="s">
        <v>98</v>
      </c>
      <c r="C27" s="131"/>
      <c r="D27" s="132"/>
      <c r="E27" s="1"/>
      <c r="F27" s="1"/>
    </row>
    <row r="28" spans="1:6" x14ac:dyDescent="0.25">
      <c r="A28" s="1"/>
      <c r="B28" s="93" t="s">
        <v>99</v>
      </c>
      <c r="C28" s="9">
        <v>3533334</v>
      </c>
      <c r="D28" s="14" t="s">
        <v>3</v>
      </c>
      <c r="E28" s="1"/>
      <c r="F28" s="1"/>
    </row>
    <row r="29" spans="1:6" x14ac:dyDescent="0.25">
      <c r="A29" s="1"/>
      <c r="B29" s="93" t="s">
        <v>129</v>
      </c>
      <c r="C29" s="9">
        <v>0</v>
      </c>
      <c r="D29" s="14" t="s">
        <v>3</v>
      </c>
      <c r="E29" s="1"/>
      <c r="F29" s="1"/>
    </row>
    <row r="30" spans="1:6" x14ac:dyDescent="0.25">
      <c r="A30" s="1"/>
      <c r="B30" s="93" t="s">
        <v>155</v>
      </c>
      <c r="C30" s="9">
        <v>0</v>
      </c>
      <c r="D30" s="14" t="s">
        <v>3</v>
      </c>
      <c r="E30" s="1"/>
      <c r="F30" s="1"/>
    </row>
    <row r="31" spans="1:6" x14ac:dyDescent="0.25">
      <c r="A31" s="1"/>
      <c r="B31" s="33" t="s">
        <v>202</v>
      </c>
      <c r="C31" s="9">
        <v>0</v>
      </c>
      <c r="D31" s="40" t="s">
        <v>3</v>
      </c>
      <c r="E31" s="1"/>
      <c r="F31" s="1"/>
    </row>
    <row r="32" spans="1:6" x14ac:dyDescent="0.25">
      <c r="A32" s="1"/>
      <c r="B32" s="130"/>
      <c r="C32" s="131"/>
      <c r="D32" s="132"/>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n7/6od6L3jZ6fvdDUSIBHDuSqNlOB1AYYNqQoUDZzWUHRfwPk49hRG2O2xXNuqusmxIytNzqWY7sq0YfQfWCyg==" saltValue="r7x/avdi/NoL9g7qkpbEN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203</v>
      </c>
      <c r="C3" s="123"/>
      <c r="D3" s="123"/>
      <c r="E3" s="123"/>
      <c r="F3" s="123"/>
      <c r="G3" s="1"/>
    </row>
    <row r="4" spans="1:7" ht="15" customHeight="1" x14ac:dyDescent="0.25">
      <c r="A4" s="1"/>
      <c r="B4" s="123"/>
      <c r="C4" s="123"/>
      <c r="D4" s="123"/>
      <c r="E4" s="123"/>
      <c r="F4" s="123"/>
      <c r="G4" s="1"/>
    </row>
    <row r="5" spans="1:7" ht="15" customHeight="1" x14ac:dyDescent="0.25">
      <c r="A5" s="1"/>
      <c r="B5" s="89"/>
      <c r="C5" s="89"/>
      <c r="D5" s="89"/>
      <c r="E5" s="89"/>
      <c r="F5" s="89"/>
      <c r="G5" s="1"/>
    </row>
    <row r="6" spans="1:7" ht="15" customHeight="1" x14ac:dyDescent="0.25">
      <c r="A6" s="1"/>
      <c r="B6" s="89"/>
      <c r="C6" s="89"/>
      <c r="D6" s="89"/>
      <c r="E6" s="89"/>
      <c r="F6" s="89"/>
      <c r="G6" s="1"/>
    </row>
    <row r="7" spans="1:7" x14ac:dyDescent="0.25">
      <c r="A7" s="1"/>
      <c r="B7" s="1"/>
      <c r="C7" s="1"/>
      <c r="D7" s="1"/>
      <c r="E7" s="1"/>
      <c r="F7" s="1"/>
      <c r="G7" s="1"/>
    </row>
    <row r="8" spans="1:7" x14ac:dyDescent="0.25">
      <c r="A8" s="1"/>
      <c r="B8" s="130" t="s">
        <v>178</v>
      </c>
      <c r="C8" s="131"/>
      <c r="D8" s="131"/>
      <c r="E8" s="131"/>
      <c r="F8" s="132"/>
      <c r="G8" s="1"/>
    </row>
    <row r="9" spans="1:7" x14ac:dyDescent="0.25">
      <c r="A9" s="1"/>
      <c r="B9" s="135" t="s">
        <v>204</v>
      </c>
      <c r="C9" s="136"/>
      <c r="D9" s="137"/>
      <c r="E9" s="9">
        <v>-6358204.8010872453</v>
      </c>
      <c r="F9" s="14" t="s">
        <v>3</v>
      </c>
      <c r="G9" s="1"/>
    </row>
    <row r="10" spans="1:7" x14ac:dyDescent="0.25">
      <c r="A10" s="1"/>
      <c r="B10" s="135" t="s">
        <v>263</v>
      </c>
      <c r="C10" s="136"/>
      <c r="D10" s="137"/>
      <c r="E10" s="9">
        <v>-592060.00705714524</v>
      </c>
      <c r="F10" s="14" t="s">
        <v>3</v>
      </c>
      <c r="G10" s="1"/>
    </row>
    <row r="11" spans="1:7" x14ac:dyDescent="0.25">
      <c r="A11" s="1"/>
      <c r="B11" s="32"/>
      <c r="C11" s="27"/>
      <c r="D11" s="27"/>
      <c r="E11" s="27"/>
      <c r="F11" s="19"/>
      <c r="G11" s="1"/>
    </row>
    <row r="12" spans="1:7" ht="78.75" customHeight="1" x14ac:dyDescent="0.25">
      <c r="A12" s="1"/>
      <c r="B12" s="120" t="s">
        <v>288</v>
      </c>
      <c r="C12" s="121"/>
      <c r="D12" s="121"/>
      <c r="E12" s="121"/>
      <c r="F12" s="122"/>
      <c r="G12" s="1"/>
    </row>
    <row r="13" spans="1:7" ht="27" customHeight="1" x14ac:dyDescent="0.25">
      <c r="A13" s="1"/>
      <c r="B13" s="1"/>
      <c r="C13" s="1"/>
      <c r="D13" s="1"/>
      <c r="E13" s="1"/>
      <c r="F13" s="1"/>
      <c r="G13" s="1"/>
    </row>
    <row r="14" spans="1:7" ht="28.5" customHeight="1" x14ac:dyDescent="0.25">
      <c r="A14" s="1"/>
      <c r="B14" s="130" t="s">
        <v>179</v>
      </c>
      <c r="C14" s="131"/>
      <c r="D14" s="131"/>
      <c r="E14" s="131"/>
      <c r="F14" s="132"/>
      <c r="G14" s="1"/>
    </row>
    <row r="15" spans="1:7" x14ac:dyDescent="0.25">
      <c r="A15" s="1"/>
      <c r="B15" s="135" t="s">
        <v>283</v>
      </c>
      <c r="C15" s="136"/>
      <c r="D15" s="137"/>
      <c r="E15" s="9">
        <v>-296029.77873994038</v>
      </c>
      <c r="F15" s="14" t="s">
        <v>3</v>
      </c>
      <c r="G15" s="1"/>
    </row>
    <row r="16" spans="1:7" x14ac:dyDescent="0.25">
      <c r="A16" s="1"/>
      <c r="B16" s="135" t="s">
        <v>284</v>
      </c>
      <c r="C16" s="136"/>
      <c r="D16" s="137"/>
      <c r="E16" s="9">
        <v>-296029.77873994038</v>
      </c>
      <c r="F16" s="14" t="s">
        <v>3</v>
      </c>
      <c r="G16" s="1"/>
    </row>
    <row r="17" spans="1:7" x14ac:dyDescent="0.25">
      <c r="A17" s="1"/>
      <c r="B17" s="32"/>
      <c r="C17" s="27"/>
      <c r="D17" s="27"/>
      <c r="E17" s="27"/>
      <c r="F17" s="19"/>
      <c r="G17" s="1"/>
    </row>
    <row r="18" spans="1:7" ht="31.5" customHeight="1" x14ac:dyDescent="0.25">
      <c r="A18" s="1"/>
      <c r="B18" s="120" t="s">
        <v>289</v>
      </c>
      <c r="C18" s="121"/>
      <c r="D18" s="121"/>
      <c r="E18" s="121"/>
      <c r="F18" s="122"/>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90" t="s">
        <v>206</v>
      </c>
      <c r="C21" s="91"/>
      <c r="D21" s="92"/>
      <c r="E21" s="9">
        <v>45830299.98570811</v>
      </c>
      <c r="F21" s="14" t="s">
        <v>3</v>
      </c>
      <c r="G21" s="1"/>
    </row>
    <row r="22" spans="1:7" x14ac:dyDescent="0.25">
      <c r="A22" s="1"/>
      <c r="B22" s="90" t="s">
        <v>291</v>
      </c>
      <c r="C22" s="91"/>
      <c r="D22" s="92"/>
      <c r="E22" s="9">
        <v>1464311</v>
      </c>
      <c r="F22" s="14" t="s">
        <v>3</v>
      </c>
      <c r="G22" s="1"/>
    </row>
    <row r="23" spans="1:7" x14ac:dyDescent="0.25">
      <c r="A23" s="1"/>
      <c r="B23" s="90" t="s">
        <v>207</v>
      </c>
      <c r="C23" s="91"/>
      <c r="D23" s="92"/>
      <c r="E23" s="9">
        <v>51156388</v>
      </c>
      <c r="F23" s="14" t="s">
        <v>3</v>
      </c>
      <c r="G23" s="1"/>
    </row>
    <row r="24" spans="1:7" x14ac:dyDescent="0.25">
      <c r="A24" s="1"/>
      <c r="B24" s="90" t="s">
        <v>33</v>
      </c>
      <c r="C24" s="91"/>
      <c r="D24" s="92"/>
      <c r="E24" s="9">
        <v>0</v>
      </c>
      <c r="F24" s="14" t="s">
        <v>3</v>
      </c>
      <c r="G24" s="1"/>
    </row>
    <row r="25" spans="1:7" x14ac:dyDescent="0.25">
      <c r="A25" s="1"/>
      <c r="B25" s="87" t="s">
        <v>270</v>
      </c>
      <c r="C25" s="88"/>
      <c r="D25" s="94"/>
      <c r="E25" s="72">
        <f>SUM(E21,E22)-(E23-E24)</f>
        <v>-3861777.01429189</v>
      </c>
      <c r="F25" s="17" t="s">
        <v>3</v>
      </c>
      <c r="G25" s="1"/>
    </row>
    <row r="26" spans="1:7" x14ac:dyDescent="0.25">
      <c r="A26" s="1"/>
      <c r="B26" s="32"/>
      <c r="C26" s="27"/>
      <c r="D26" s="27"/>
      <c r="E26" s="27"/>
      <c r="F26" s="19"/>
      <c r="G26" s="1"/>
    </row>
    <row r="27" spans="1:7" x14ac:dyDescent="0.25">
      <c r="A27" s="1"/>
      <c r="B27" s="1"/>
      <c r="C27" s="1"/>
      <c r="D27" s="1"/>
      <c r="E27" s="1"/>
      <c r="F27" s="1"/>
      <c r="G27" s="1"/>
    </row>
    <row r="28" spans="1:7" x14ac:dyDescent="0.25">
      <c r="A28" s="1"/>
      <c r="B28" s="130" t="s">
        <v>285</v>
      </c>
      <c r="C28" s="131"/>
      <c r="D28" s="131"/>
      <c r="E28" s="131"/>
      <c r="F28" s="132"/>
      <c r="G28" s="1"/>
    </row>
    <row r="29" spans="1:7" x14ac:dyDescent="0.25">
      <c r="A29" s="1"/>
      <c r="B29" s="133" t="s">
        <v>286</v>
      </c>
      <c r="C29" s="134"/>
      <c r="D29" s="150"/>
      <c r="E29" s="72">
        <f>IF(AND(E9&gt;0,(E9+E25)&gt;0),0,IF(AND(E9&gt;0,(E9+E25)&lt;0),0,IF(AND(E9&lt;0,E25&gt;0,E10=0),0,IF(AND(E9&lt;0,E25&gt;0,ABS(E10)&lt;ABS(E25)),ABS(E16),IF(AND(E9&lt;0,E25&gt;0,ABS(E10)&gt;ABS(E25),ABS(E16)&gt;ABS(E25)),-(ABS(E16)-ABS(E25)),IF(AND(E9&lt;0,E25&gt;0,ABS(E10)&gt;ABS(E25),ABS(E16)&lt;ABS(E25)),E25-ABS(E16),IF(AND(E9&lt;0,E25&lt;0),E16,0)))))))</f>
        <v>-296029.77873994038</v>
      </c>
      <c r="F29" s="17" t="s">
        <v>3</v>
      </c>
      <c r="G29" s="1"/>
    </row>
    <row r="30" spans="1:7" x14ac:dyDescent="0.25">
      <c r="A30" s="1"/>
      <c r="B30" s="130"/>
      <c r="C30" s="131"/>
      <c r="D30" s="131"/>
      <c r="E30" s="131"/>
      <c r="F30" s="132"/>
      <c r="G30" s="1"/>
    </row>
    <row r="31" spans="1:7" x14ac:dyDescent="0.25">
      <c r="A31" s="1"/>
      <c r="B31" s="1"/>
      <c r="C31" s="1"/>
      <c r="D31" s="1"/>
      <c r="E31" s="1"/>
      <c r="F31" s="1"/>
      <c r="G31" s="1"/>
    </row>
    <row r="32" spans="1:7" ht="28.5" customHeight="1" x14ac:dyDescent="0.25">
      <c r="A32" s="1"/>
      <c r="B32" s="130" t="s">
        <v>264</v>
      </c>
      <c r="C32" s="131"/>
      <c r="D32" s="131"/>
      <c r="E32" s="131"/>
      <c r="F32" s="132"/>
      <c r="G32" s="1"/>
    </row>
    <row r="33" spans="1:7" x14ac:dyDescent="0.25">
      <c r="A33" s="1"/>
      <c r="B33" s="151" t="s">
        <v>143</v>
      </c>
      <c r="C33" s="152"/>
      <c r="D33" s="153"/>
      <c r="E33" s="73">
        <f>IF(AND(E9&gt;0,(E9+E25)&gt;0),0,IF(AND(E9&gt;0,(E9+E25)&lt;0),(E9+E25),IF(AND(E9&lt;0,E25&lt;0),E25,0)))</f>
        <v>-3861777.01429189</v>
      </c>
      <c r="F33" s="14" t="s">
        <v>3</v>
      </c>
      <c r="G33" s="1"/>
    </row>
    <row r="34" spans="1:7" x14ac:dyDescent="0.25">
      <c r="A34" s="1"/>
      <c r="B34" s="151" t="s">
        <v>102</v>
      </c>
      <c r="C34" s="152"/>
      <c r="D34" s="153"/>
      <c r="E34" s="9">
        <v>4</v>
      </c>
      <c r="F34" s="14" t="s">
        <v>20</v>
      </c>
      <c r="G34" s="1"/>
    </row>
    <row r="35" spans="1:7" x14ac:dyDescent="0.25">
      <c r="A35" s="1"/>
      <c r="B35" s="154" t="s">
        <v>144</v>
      </c>
      <c r="C35" s="154"/>
      <c r="D35" s="154"/>
      <c r="E35" s="72">
        <f>E33/E34</f>
        <v>-965444.25357297249</v>
      </c>
      <c r="F35" s="17" t="s">
        <v>3</v>
      </c>
      <c r="G35" s="1"/>
    </row>
    <row r="36" spans="1:7" x14ac:dyDescent="0.25">
      <c r="A36" s="1"/>
      <c r="B36" s="155"/>
      <c r="C36" s="156"/>
      <c r="D36" s="156"/>
      <c r="E36" s="156"/>
      <c r="F36" s="15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49"/>
      <c r="B41" s="49"/>
      <c r="C41" s="49"/>
      <c r="D41" s="49"/>
      <c r="E41" s="49"/>
      <c r="F41" s="49"/>
      <c r="G41" s="49"/>
    </row>
    <row r="42" spans="1:7" x14ac:dyDescent="0.25">
      <c r="B42" s="49"/>
      <c r="C42" s="49"/>
      <c r="D42" s="49"/>
      <c r="E42" s="49"/>
      <c r="F42" s="49"/>
    </row>
    <row r="43" spans="1:7" x14ac:dyDescent="0.25">
      <c r="A43" s="49"/>
      <c r="B43" s="49"/>
      <c r="C43" s="49"/>
      <c r="D43" s="49"/>
      <c r="E43" s="49"/>
      <c r="F43" s="49"/>
      <c r="G43" s="49"/>
    </row>
    <row r="44" spans="1:7" x14ac:dyDescent="0.25">
      <c r="A44" s="49"/>
      <c r="B44" s="49"/>
      <c r="C44" s="49"/>
      <c r="D44" s="49"/>
      <c r="E44" s="49"/>
      <c r="F44" s="49"/>
      <c r="G44" s="49"/>
    </row>
  </sheetData>
  <sheetProtection algorithmName="SHA-512" hashValue="AL3Jb+YvpbIVNykx2fQd76/A44RneAGDB/YNKiOXr/HQZUc5tV2ga6mMIHYurtasQvvSoI9mb+YD9nIbZMClwg==" saltValue="vgM53AYZjE8wook7IJf4/A==" spinCount="100000" sheet="1" objects="1" scenarios="1"/>
  <mergeCells count="17">
    <mergeCell ref="B15:D15"/>
    <mergeCell ref="B16:D16"/>
    <mergeCell ref="B33:D33"/>
    <mergeCell ref="B30:F30"/>
    <mergeCell ref="B18:F18"/>
    <mergeCell ref="B28:F28"/>
    <mergeCell ref="B3:F4"/>
    <mergeCell ref="B8:F8"/>
    <mergeCell ref="B9:D9"/>
    <mergeCell ref="B10:D10"/>
    <mergeCell ref="B14:F14"/>
    <mergeCell ref="B12:F12"/>
    <mergeCell ref="B29:D29"/>
    <mergeCell ref="B32:F32"/>
    <mergeCell ref="B34:D34"/>
    <mergeCell ref="B35:D35"/>
    <mergeCell ref="B36:F3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8" t="s">
        <v>250</v>
      </c>
      <c r="C3" s="118"/>
      <c r="D3" s="118"/>
      <c r="E3" s="118"/>
      <c r="F3" s="118"/>
      <c r="G3" s="118"/>
      <c r="H3" s="118"/>
      <c r="I3" s="1"/>
    </row>
    <row r="4" spans="1:9" ht="15" customHeight="1" x14ac:dyDescent="0.25">
      <c r="A4" s="1"/>
      <c r="B4" s="118"/>
      <c r="C4" s="118"/>
      <c r="D4" s="118"/>
      <c r="E4" s="118"/>
      <c r="F4" s="118"/>
      <c r="G4" s="118"/>
      <c r="H4" s="11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262</v>
      </c>
      <c r="C8" s="131"/>
      <c r="D8" s="131"/>
      <c r="E8" s="131"/>
      <c r="F8" s="131"/>
      <c r="G8" s="131"/>
      <c r="H8" s="132"/>
      <c r="I8" s="1"/>
    </row>
    <row r="9" spans="1:9" ht="15" customHeight="1" x14ac:dyDescent="0.25">
      <c r="A9" s="1"/>
      <c r="B9" s="127" t="s">
        <v>251</v>
      </c>
      <c r="C9" s="128"/>
      <c r="D9" s="128"/>
      <c r="E9" s="128"/>
      <c r="F9" s="128"/>
      <c r="G9" s="128"/>
      <c r="H9" s="129"/>
      <c r="I9" s="1"/>
    </row>
    <row r="10" spans="1:9" x14ac:dyDescent="0.25">
      <c r="A10" s="1"/>
      <c r="B10" s="158" t="s">
        <v>272</v>
      </c>
      <c r="C10" s="159"/>
      <c r="D10" s="159"/>
      <c r="E10" s="159"/>
      <c r="F10" s="160"/>
      <c r="G10" s="9">
        <v>0</v>
      </c>
      <c r="H10" s="9" t="s">
        <v>3</v>
      </c>
      <c r="I10" s="1"/>
    </row>
    <row r="11" spans="1:9" x14ac:dyDescent="0.25">
      <c r="A11" s="1"/>
      <c r="B11" s="158" t="s">
        <v>273</v>
      </c>
      <c r="C11" s="159"/>
      <c r="D11" s="159"/>
      <c r="E11" s="159"/>
      <c r="F11" s="160"/>
      <c r="G11" s="9">
        <v>0</v>
      </c>
      <c r="H11" s="9" t="s">
        <v>3</v>
      </c>
      <c r="I11" s="1"/>
    </row>
    <row r="12" spans="1:9" x14ac:dyDescent="0.25">
      <c r="A12" s="1"/>
      <c r="B12" s="158" t="s">
        <v>274</v>
      </c>
      <c r="C12" s="159"/>
      <c r="D12" s="159"/>
      <c r="E12" s="159"/>
      <c r="F12" s="160"/>
      <c r="G12" s="9">
        <v>0</v>
      </c>
      <c r="H12" s="9" t="s">
        <v>3</v>
      </c>
      <c r="I12" s="1"/>
    </row>
    <row r="13" spans="1:9" x14ac:dyDescent="0.25">
      <c r="A13" s="1"/>
      <c r="B13" s="158" t="s">
        <v>275</v>
      </c>
      <c r="C13" s="159"/>
      <c r="D13" s="159"/>
      <c r="E13" s="159"/>
      <c r="F13" s="160"/>
      <c r="G13" s="9">
        <v>0</v>
      </c>
      <c r="H13" s="9" t="s">
        <v>3</v>
      </c>
      <c r="I13" s="1"/>
    </row>
    <row r="14" spans="1:9" x14ac:dyDescent="0.25">
      <c r="A14" s="1"/>
      <c r="B14" s="158" t="s">
        <v>276</v>
      </c>
      <c r="C14" s="159"/>
      <c r="D14" s="159"/>
      <c r="E14" s="159"/>
      <c r="F14" s="160"/>
      <c r="G14" s="9">
        <v>0</v>
      </c>
      <c r="H14" s="9" t="s">
        <v>3</v>
      </c>
      <c r="I14" s="1"/>
    </row>
    <row r="15" spans="1:9" x14ac:dyDescent="0.25">
      <c r="A15" s="1"/>
      <c r="B15" s="158" t="s">
        <v>277</v>
      </c>
      <c r="C15" s="159"/>
      <c r="D15" s="159"/>
      <c r="E15" s="159"/>
      <c r="F15" s="160"/>
      <c r="G15" s="9">
        <v>0</v>
      </c>
      <c r="H15" s="9" t="s">
        <v>3</v>
      </c>
      <c r="I15" s="1"/>
    </row>
    <row r="16" spans="1:9" x14ac:dyDescent="0.25">
      <c r="A16" s="1"/>
      <c r="B16" s="158" t="s">
        <v>278</v>
      </c>
      <c r="C16" s="159"/>
      <c r="D16" s="159"/>
      <c r="E16" s="159"/>
      <c r="F16" s="160"/>
      <c r="G16" s="9">
        <v>0</v>
      </c>
      <c r="H16" s="9" t="s">
        <v>3</v>
      </c>
      <c r="I16" s="1"/>
    </row>
    <row r="17" spans="1:9" x14ac:dyDescent="0.25">
      <c r="A17" s="1"/>
      <c r="B17" s="158" t="s">
        <v>279</v>
      </c>
      <c r="C17" s="159"/>
      <c r="D17" s="159"/>
      <c r="E17" s="159"/>
      <c r="F17" s="160"/>
      <c r="G17" s="9">
        <v>0</v>
      </c>
      <c r="H17" s="9" t="s">
        <v>3</v>
      </c>
      <c r="I17" s="1"/>
    </row>
    <row r="18" spans="1:9" x14ac:dyDescent="0.25">
      <c r="A18" s="1"/>
      <c r="B18" s="130" t="s">
        <v>252</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Rd5d7w9QKjxEWO4gHcG6NpEcitItcCv95cID/d1KYB9oovu7lMTZxdm6v+aym6xV/IZFlFAFuK+QAJL6VaCssA==" saltValue="TdVdAHplr1mAxMvVkIlzXw=="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254</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208</v>
      </c>
      <c r="C9" s="131"/>
      <c r="D9" s="131"/>
      <c r="E9" s="131"/>
      <c r="F9" s="132"/>
      <c r="G9" s="1"/>
    </row>
    <row r="10" spans="1:7" x14ac:dyDescent="0.25">
      <c r="A10" s="1"/>
      <c r="B10" s="120" t="s">
        <v>100</v>
      </c>
      <c r="C10" s="121"/>
      <c r="D10" s="122"/>
      <c r="E10" s="7">
        <v>0</v>
      </c>
      <c r="F10" s="8" t="s">
        <v>3</v>
      </c>
      <c r="G10" s="1"/>
    </row>
    <row r="11" spans="1:7" x14ac:dyDescent="0.25">
      <c r="A11" s="1"/>
      <c r="B11" s="135" t="s">
        <v>209</v>
      </c>
      <c r="C11" s="136"/>
      <c r="D11" s="137"/>
      <c r="E11" s="7">
        <v>0</v>
      </c>
      <c r="F11" s="8" t="s">
        <v>3</v>
      </c>
      <c r="G11" s="1"/>
    </row>
    <row r="12" spans="1:7" x14ac:dyDescent="0.25">
      <c r="A12" s="1"/>
      <c r="B12" s="133" t="s">
        <v>101</v>
      </c>
      <c r="C12" s="134"/>
      <c r="D12" s="150"/>
      <c r="E12" s="10">
        <f>E11-E10</f>
        <v>0</v>
      </c>
      <c r="F12" s="11" t="s">
        <v>3</v>
      </c>
      <c r="G12" s="1"/>
    </row>
    <row r="13" spans="1:7" x14ac:dyDescent="0.25">
      <c r="A13" s="1"/>
      <c r="B13" s="130" t="s">
        <v>94</v>
      </c>
      <c r="C13" s="131"/>
      <c r="D13" s="131"/>
      <c r="E13" s="131"/>
      <c r="F13" s="132"/>
      <c r="G13" s="1"/>
    </row>
    <row r="14" spans="1:7" x14ac:dyDescent="0.25">
      <c r="A14" s="1"/>
      <c r="B14" s="135" t="s">
        <v>210</v>
      </c>
      <c r="C14" s="136"/>
      <c r="D14" s="137"/>
      <c r="E14" s="9">
        <v>583000</v>
      </c>
      <c r="F14" s="8" t="s">
        <v>3</v>
      </c>
      <c r="G14" s="1"/>
    </row>
    <row r="15" spans="1:7" x14ac:dyDescent="0.25">
      <c r="A15" s="1"/>
      <c r="B15" s="120" t="s">
        <v>211</v>
      </c>
      <c r="C15" s="121"/>
      <c r="D15" s="122"/>
      <c r="E15" s="9">
        <v>244763.41</v>
      </c>
      <c r="F15" s="8" t="s">
        <v>3</v>
      </c>
      <c r="G15" s="1"/>
    </row>
    <row r="16" spans="1:7" x14ac:dyDescent="0.25">
      <c r="A16" s="1"/>
      <c r="B16" s="133" t="s">
        <v>101</v>
      </c>
      <c r="C16" s="134"/>
      <c r="D16" s="150"/>
      <c r="E16" s="10">
        <f>E15-E14</f>
        <v>-338236.58999999997</v>
      </c>
      <c r="F16" s="11" t="s">
        <v>3</v>
      </c>
      <c r="G16" s="1"/>
    </row>
    <row r="17" spans="1:7" x14ac:dyDescent="0.25">
      <c r="A17" s="1"/>
      <c r="B17" s="32" t="s">
        <v>212</v>
      </c>
      <c r="C17" s="27"/>
      <c r="D17" s="27"/>
      <c r="E17" s="12">
        <f>E12+E16</f>
        <v>-338236.58999999997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OtEvS5rorQ3Fg2Ge8zN479OU+SZt70VPTe/F4HuX0D5S+/FTxvYKHY9fA/8YlO/XoZuEkZ6tIK0rUQHSn3u5A==" saltValue="vMftTVHOakByZhmDhhfiz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8" t="s">
        <v>255</v>
      </c>
      <c r="C3" s="118"/>
      <c r="D3" s="118"/>
      <c r="E3" s="118"/>
      <c r="F3" s="118"/>
      <c r="G3" s="118"/>
      <c r="H3" s="118"/>
      <c r="I3" s="118"/>
      <c r="J3" s="118"/>
      <c r="K3" s="118"/>
      <c r="L3" s="1"/>
    </row>
    <row r="4" spans="1:12" ht="15" customHeight="1" x14ac:dyDescent="0.25">
      <c r="A4" s="1"/>
      <c r="B4" s="118"/>
      <c r="C4" s="118"/>
      <c r="D4" s="118"/>
      <c r="E4" s="118"/>
      <c r="F4" s="118"/>
      <c r="G4" s="118"/>
      <c r="H4" s="118"/>
      <c r="I4" s="118"/>
      <c r="J4" s="118"/>
      <c r="K4" s="11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219</v>
      </c>
      <c r="C8" s="131"/>
      <c r="D8" s="131"/>
      <c r="E8" s="131"/>
      <c r="F8" s="131"/>
      <c r="G8" s="131"/>
      <c r="H8" s="131"/>
      <c r="I8" s="131"/>
      <c r="J8" s="131"/>
      <c r="K8" s="132"/>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6" t="s">
        <v>280</v>
      </c>
      <c r="C10" s="41">
        <v>0</v>
      </c>
      <c r="D10" s="9">
        <v>0</v>
      </c>
      <c r="E10" s="14" t="s">
        <v>3</v>
      </c>
      <c r="F10" s="9">
        <f>IFERROR(D10/C10,0)</f>
        <v>0</v>
      </c>
      <c r="G10" s="14" t="s">
        <v>3</v>
      </c>
      <c r="H10" s="44">
        <v>0</v>
      </c>
      <c r="I10" s="14" t="s">
        <v>3</v>
      </c>
      <c r="J10" s="44">
        <v>0</v>
      </c>
      <c r="K10" s="14" t="s">
        <v>3</v>
      </c>
      <c r="L10" s="1"/>
    </row>
    <row r="11" spans="1:12" x14ac:dyDescent="0.25">
      <c r="A11" s="1"/>
      <c r="B11" s="84" t="s">
        <v>220</v>
      </c>
      <c r="C11" s="85"/>
      <c r="D11" s="86"/>
      <c r="E11" s="86"/>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HN6NLGxdNVPVbw2XVq2Vrc60XLzEGpFgRpvAZuIJJ57+/e2yS0MpUcojKrQeKuCx8t38C54ik1y0pgZB6sMog==" saltValue="nUsfGp0DC5OLdTn8gyW3h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256</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2" t="s">
        <v>17</v>
      </c>
      <c r="C9" s="82" t="s">
        <v>11</v>
      </c>
      <c r="D9" s="83"/>
      <c r="E9" s="82"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281</v>
      </c>
      <c r="C11" s="21">
        <v>0</v>
      </c>
      <c r="D11" s="14" t="s">
        <v>3</v>
      </c>
      <c r="E11" s="9">
        <f>111239+99542</f>
        <v>210781</v>
      </c>
      <c r="F11" s="14" t="s">
        <v>3</v>
      </c>
      <c r="G11" s="1"/>
    </row>
    <row r="12" spans="1:7" x14ac:dyDescent="0.25">
      <c r="A12" s="1"/>
      <c r="B12" s="23" t="s">
        <v>282</v>
      </c>
      <c r="C12" s="21">
        <v>0</v>
      </c>
      <c r="D12" s="14" t="s">
        <v>3</v>
      </c>
      <c r="E12" s="9">
        <f>22527+26618</f>
        <v>49145</v>
      </c>
      <c r="F12" s="14" t="s">
        <v>3</v>
      </c>
      <c r="G12" s="1"/>
    </row>
    <row r="13" spans="1:7" x14ac:dyDescent="0.25">
      <c r="A13" s="1"/>
      <c r="B13" s="32" t="s">
        <v>156</v>
      </c>
      <c r="C13" s="12">
        <f>SUM(C10:C12)</f>
        <v>0</v>
      </c>
      <c r="D13" s="13" t="s">
        <v>3</v>
      </c>
      <c r="E13" s="12">
        <f>SUM(E10:E12)</f>
        <v>259926</v>
      </c>
      <c r="F13" s="13" t="s">
        <v>3</v>
      </c>
      <c r="G13" s="1"/>
    </row>
    <row r="14" spans="1:7" x14ac:dyDescent="0.25">
      <c r="A14" s="1"/>
      <c r="B14" s="32" t="s">
        <v>213</v>
      </c>
      <c r="C14" s="12">
        <f>C13*(1+'Fane 15. Nøgletal'!C15)</f>
        <v>0</v>
      </c>
      <c r="D14" s="13" t="s">
        <v>3</v>
      </c>
      <c r="E14" s="12">
        <f>E13*(1+'Fane 15. Nøgletal'!C15)</f>
        <v>269179.36560000002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dU5CMp4jN/uL5FKVYqKAeqRnxpzYPzhCuG5QMFRnVKoJoULThxQ8bpqSddm1ZBt+NmDBBDJE5fvFiCZ1l+Dkg==" saltValue="eKGQA2CZmIGw6bRyaLoeS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257</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97</v>
      </c>
      <c r="C8" s="131"/>
      <c r="D8" s="131"/>
      <c r="E8" s="131"/>
      <c r="F8" s="132"/>
      <c r="G8" s="1"/>
    </row>
    <row r="9" spans="1:7" x14ac:dyDescent="0.25">
      <c r="A9" s="1"/>
      <c r="B9" s="82" t="s">
        <v>17</v>
      </c>
      <c r="C9" s="82" t="s">
        <v>11</v>
      </c>
      <c r="D9" s="83"/>
      <c r="E9" s="82" t="s">
        <v>31</v>
      </c>
      <c r="F9" s="31"/>
      <c r="G9" s="1"/>
    </row>
    <row r="10" spans="1:7" x14ac:dyDescent="0.25">
      <c r="A10" s="1"/>
      <c r="B10" s="23" t="s">
        <v>290</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bCfJ2y8wFunB2Kg68gcwjfxi6wI30zyGoUXe3tW3PwfNUHVyxOGdwH5bZV+drgdvBRYtJZjbkUk1r3aNHpV/eA==" saltValue="Lq0ulZez24cAmcxpezLYU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258</v>
      </c>
      <c r="C3" s="123"/>
      <c r="D3" s="123"/>
      <c r="E3" s="123"/>
      <c r="F3" s="123"/>
      <c r="G3" s="1"/>
    </row>
    <row r="4" spans="1:7" ht="15" customHeight="1" x14ac:dyDescent="0.25">
      <c r="A4" s="1"/>
      <c r="B4" s="123"/>
      <c r="C4" s="123"/>
      <c r="D4" s="123"/>
      <c r="E4" s="123"/>
      <c r="F4" s="123"/>
      <c r="G4" s="1"/>
    </row>
    <row r="5" spans="1:7" x14ac:dyDescent="0.25">
      <c r="A5" s="1"/>
      <c r="B5" s="123"/>
      <c r="C5" s="123"/>
      <c r="D5" s="123"/>
      <c r="E5" s="123"/>
      <c r="F5" s="12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0" t="s">
        <v>91</v>
      </c>
      <c r="C9" s="131"/>
      <c r="D9" s="131"/>
      <c r="E9" s="131"/>
      <c r="F9" s="132"/>
      <c r="G9" s="1"/>
    </row>
    <row r="10" spans="1:7" x14ac:dyDescent="0.25">
      <c r="A10" s="1"/>
      <c r="B10" s="158" t="s">
        <v>224</v>
      </c>
      <c r="C10" s="159"/>
      <c r="D10" s="160"/>
      <c r="E10" s="9">
        <v>0</v>
      </c>
      <c r="F10" s="14" t="s">
        <v>3</v>
      </c>
      <c r="G10" s="1"/>
    </row>
    <row r="11" spans="1:7" x14ac:dyDescent="0.25">
      <c r="A11" s="1"/>
      <c r="B11" s="124" t="s">
        <v>10</v>
      </c>
      <c r="C11" s="125"/>
      <c r="D11" s="126"/>
      <c r="E11" s="9">
        <f>-E10*'Fane 5. Individuelt eff. krav'!G9</f>
        <v>0</v>
      </c>
      <c r="F11" s="14" t="s">
        <v>3</v>
      </c>
      <c r="G11" s="1"/>
    </row>
    <row r="12" spans="1:7" x14ac:dyDescent="0.25">
      <c r="A12" s="1"/>
      <c r="B12" s="124" t="s">
        <v>24</v>
      </c>
      <c r="C12" s="125"/>
      <c r="D12" s="126"/>
      <c r="E12" s="9">
        <f>-E10*'Fane 15. Nøgletal'!C31</f>
        <v>0</v>
      </c>
      <c r="F12" s="14" t="s">
        <v>3</v>
      </c>
      <c r="G12" s="1"/>
    </row>
    <row r="13" spans="1:7" x14ac:dyDescent="0.25">
      <c r="A13" s="1"/>
      <c r="B13" s="130" t="s">
        <v>92</v>
      </c>
      <c r="C13" s="131"/>
      <c r="D13" s="132"/>
      <c r="E13" s="12">
        <f>SUM(E10:E12)*(1+'Fane 15. Nøgletal'!C15)^2</f>
        <v>0</v>
      </c>
      <c r="F13" s="13" t="s">
        <v>3</v>
      </c>
      <c r="G13" s="1"/>
    </row>
    <row r="14" spans="1:7" x14ac:dyDescent="0.25">
      <c r="A14" s="1"/>
      <c r="B14" s="1"/>
      <c r="C14" s="1"/>
      <c r="D14" s="1"/>
      <c r="E14" s="1"/>
      <c r="F14" s="1"/>
      <c r="G14" s="1"/>
    </row>
    <row r="15" spans="1:7" ht="15" customHeight="1" x14ac:dyDescent="0.25">
      <c r="A15" s="1"/>
      <c r="B15" s="130" t="s">
        <v>130</v>
      </c>
      <c r="C15" s="131"/>
      <c r="D15" s="131"/>
      <c r="E15" s="131"/>
      <c r="F15" s="132"/>
      <c r="G15" s="1"/>
    </row>
    <row r="16" spans="1:7" x14ac:dyDescent="0.25">
      <c r="A16" s="1"/>
      <c r="B16" s="158" t="s">
        <v>224</v>
      </c>
      <c r="C16" s="159"/>
      <c r="D16" s="160"/>
      <c r="E16" s="9">
        <v>0</v>
      </c>
      <c r="F16" s="14" t="s">
        <v>3</v>
      </c>
      <c r="G16" s="1"/>
    </row>
    <row r="17" spans="1:7" x14ac:dyDescent="0.25">
      <c r="A17" s="1"/>
      <c r="B17" s="124" t="s">
        <v>10</v>
      </c>
      <c r="C17" s="125"/>
      <c r="D17" s="126"/>
      <c r="E17" s="9">
        <f>-E16*'Fane 5. Individuelt eff. krav'!G9</f>
        <v>0</v>
      </c>
      <c r="F17" s="14" t="s">
        <v>3</v>
      </c>
      <c r="G17" s="1"/>
    </row>
    <row r="18" spans="1:7" x14ac:dyDescent="0.25">
      <c r="A18" s="1"/>
      <c r="B18" s="124" t="s">
        <v>24</v>
      </c>
      <c r="C18" s="125"/>
      <c r="D18" s="126"/>
      <c r="E18" s="9">
        <f>-E16*'Fane 15. Nøgletal'!C31</f>
        <v>0</v>
      </c>
      <c r="F18" s="14" t="s">
        <v>3</v>
      </c>
      <c r="G18" s="1"/>
    </row>
    <row r="19" spans="1:7" x14ac:dyDescent="0.25">
      <c r="A19" s="1"/>
      <c r="B19" s="130" t="s">
        <v>131</v>
      </c>
      <c r="C19" s="131"/>
      <c r="D19" s="132"/>
      <c r="E19" s="12">
        <f>SUM(E16:E18)*(1+'Fane 15. Nøgletal'!C15)^3</f>
        <v>0</v>
      </c>
      <c r="F19" s="13" t="s">
        <v>3</v>
      </c>
      <c r="G19" s="1"/>
    </row>
    <row r="20" spans="1:7" x14ac:dyDescent="0.25">
      <c r="A20" s="1"/>
      <c r="B20" s="1"/>
      <c r="C20" s="1"/>
      <c r="D20" s="1"/>
      <c r="E20" s="1"/>
      <c r="F20" s="1"/>
      <c r="G20" s="1"/>
    </row>
    <row r="21" spans="1:7" ht="15" customHeight="1" x14ac:dyDescent="0.25">
      <c r="A21" s="1"/>
      <c r="B21" s="130" t="s">
        <v>157</v>
      </c>
      <c r="C21" s="131"/>
      <c r="D21" s="131"/>
      <c r="E21" s="131"/>
      <c r="F21" s="132"/>
      <c r="G21" s="1"/>
    </row>
    <row r="22" spans="1:7" x14ac:dyDescent="0.25">
      <c r="A22" s="1"/>
      <c r="B22" s="158" t="s">
        <v>224</v>
      </c>
      <c r="C22" s="159"/>
      <c r="D22" s="160"/>
      <c r="E22" s="9">
        <v>0</v>
      </c>
      <c r="F22" s="14" t="s">
        <v>3</v>
      </c>
      <c r="G22" s="1"/>
    </row>
    <row r="23" spans="1:7" x14ac:dyDescent="0.25">
      <c r="A23" s="1"/>
      <c r="B23" s="124" t="s">
        <v>10</v>
      </c>
      <c r="C23" s="125"/>
      <c r="D23" s="126"/>
      <c r="E23" s="9">
        <f>-E22*'Fane 5. Individuelt eff. krav'!G9</f>
        <v>0</v>
      </c>
      <c r="F23" s="14" t="s">
        <v>3</v>
      </c>
      <c r="G23" s="1"/>
    </row>
    <row r="24" spans="1:7" x14ac:dyDescent="0.25">
      <c r="A24" s="1"/>
      <c r="B24" s="124" t="s">
        <v>24</v>
      </c>
      <c r="C24" s="125"/>
      <c r="D24" s="126"/>
      <c r="E24" s="9">
        <f>-E22*'Fane 15. Nøgletal'!C31</f>
        <v>0</v>
      </c>
      <c r="F24" s="14" t="s">
        <v>3</v>
      </c>
      <c r="G24" s="1"/>
    </row>
    <row r="25" spans="1:7" x14ac:dyDescent="0.25">
      <c r="A25" s="1"/>
      <c r="B25" s="130" t="s">
        <v>158</v>
      </c>
      <c r="C25" s="131"/>
      <c r="D25" s="132"/>
      <c r="E25" s="12">
        <f>SUM(E22:E24)*(1+'Fane 15. Nøgletal'!C15)^4</f>
        <v>0</v>
      </c>
      <c r="F25" s="13" t="s">
        <v>3</v>
      </c>
      <c r="G25" s="1"/>
    </row>
    <row r="26" spans="1:7" x14ac:dyDescent="0.25">
      <c r="A26" s="1"/>
      <c r="B26" s="1"/>
      <c r="C26" s="1"/>
      <c r="D26" s="1"/>
      <c r="E26" s="1"/>
      <c r="F26" s="1"/>
      <c r="G26" s="1"/>
    </row>
    <row r="27" spans="1:7" ht="15" customHeight="1" x14ac:dyDescent="0.25">
      <c r="A27" s="1"/>
      <c r="B27" s="130" t="s">
        <v>214</v>
      </c>
      <c r="C27" s="131"/>
      <c r="D27" s="131"/>
      <c r="E27" s="131"/>
      <c r="F27" s="132"/>
      <c r="G27" s="1"/>
    </row>
    <row r="28" spans="1:7" ht="14.25" customHeight="1" x14ac:dyDescent="0.25">
      <c r="A28" s="1"/>
      <c r="B28" s="158" t="s">
        <v>224</v>
      </c>
      <c r="C28" s="159"/>
      <c r="D28" s="160"/>
      <c r="E28" s="9">
        <v>0</v>
      </c>
      <c r="F28" s="14" t="s">
        <v>3</v>
      </c>
      <c r="G28" s="1"/>
    </row>
    <row r="29" spans="1:7" x14ac:dyDescent="0.25">
      <c r="A29" s="1"/>
      <c r="B29" s="124" t="s">
        <v>10</v>
      </c>
      <c r="C29" s="125"/>
      <c r="D29" s="126"/>
      <c r="E29" s="9">
        <f>-E28*'Fane 5. Individuelt eff. krav'!G9</f>
        <v>0</v>
      </c>
      <c r="F29" s="14" t="s">
        <v>3</v>
      </c>
      <c r="G29" s="1"/>
    </row>
    <row r="30" spans="1:7" x14ac:dyDescent="0.25">
      <c r="A30" s="1"/>
      <c r="B30" s="124" t="s">
        <v>24</v>
      </c>
      <c r="C30" s="125"/>
      <c r="D30" s="126"/>
      <c r="E30" s="9">
        <f>-E28*'Fane 15. Nøgletal'!C31</f>
        <v>0</v>
      </c>
      <c r="F30" s="14" t="s">
        <v>3</v>
      </c>
      <c r="G30" s="1"/>
    </row>
    <row r="31" spans="1:7" x14ac:dyDescent="0.25">
      <c r="A31" s="1"/>
      <c r="B31" s="130" t="s">
        <v>215</v>
      </c>
      <c r="C31" s="131"/>
      <c r="D31" s="132"/>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uLtvKprWSwOVszjPStN2LdfY0xYgEnlAy/dFkWjh7JJD91LW6qS4wdWSFFMucFKYjm1dq82PdeUDV/OM+zNlg==" saltValue="uhgpagvm0MPWcYAYxyujU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1.7109375" style="2" customWidth="1"/>
    <col min="2" max="2" width="40.140625" style="2" customWidth="1"/>
    <col min="3" max="3" width="15.5703125" style="2" customWidth="1"/>
    <col min="4" max="4" width="3.28515625" style="2" customWidth="1"/>
    <col min="5" max="5" width="17.140625" style="2" customWidth="1"/>
    <col min="6" max="6" width="3.28515625" style="2" customWidth="1"/>
    <col min="7" max="7" width="1.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259</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132</v>
      </c>
      <c r="C8" s="131"/>
      <c r="D8" s="131"/>
      <c r="E8" s="131"/>
      <c r="F8" s="132"/>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IQgyoNyZNSiDhGQh5qS9UdzYFv8AMc4qUJeJlHHl+60tYRHkhUNeYHyjUXmHIL15JjEbmsENA6XA2SwpBrnUA==" saltValue="smOWDMJU+nkHxUYm05AQt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260</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93</v>
      </c>
      <c r="C9" s="131"/>
      <c r="D9" s="131"/>
      <c r="E9" s="131"/>
      <c r="F9" s="132"/>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7MpnFspZDD3Ysi8D4pbaDwtM0x3TH1u5WnyMtSB4KUr7+PDRtuuHPPAuz+A9j60pl1HeiuY+uQbdV1+RX5iGw==" saltValue="h76jc4C2RE6MzXQAHmS3/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181</v>
      </c>
      <c r="C3" s="118"/>
      <c r="D3" s="118"/>
      <c r="E3" s="1"/>
    </row>
    <row r="4" spans="1:5" ht="15" customHeight="1" x14ac:dyDescent="0.25">
      <c r="A4" s="1"/>
      <c r="B4" s="118"/>
      <c r="C4" s="118"/>
      <c r="D4" s="11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39193787.894703485</v>
      </c>
      <c r="D9" s="8" t="s">
        <v>3</v>
      </c>
      <c r="E9" s="1"/>
    </row>
    <row r="10" spans="1:5" ht="17.25" customHeight="1" x14ac:dyDescent="0.25">
      <c r="A10" s="1"/>
      <c r="B10" s="81" t="s">
        <v>39</v>
      </c>
      <c r="C10" s="7">
        <f>'Fane 11.1. Varige tillæg'!C14</f>
        <v>0</v>
      </c>
      <c r="D10" s="8" t="s">
        <v>3</v>
      </c>
      <c r="E10" s="1"/>
    </row>
    <row r="11" spans="1:5" ht="17.25" customHeight="1" x14ac:dyDescent="0.25">
      <c r="A11" s="1"/>
      <c r="B11" s="81" t="s">
        <v>40</v>
      </c>
      <c r="C11" s="9">
        <f>'Fane 11.1. Varige tillæg'!E14</f>
        <v>269179.36560000002</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138922.28546788151</v>
      </c>
      <c r="D16" s="8" t="s">
        <v>3</v>
      </c>
      <c r="E16" s="1"/>
    </row>
    <row r="17" spans="1:5" ht="17.25" customHeight="1" x14ac:dyDescent="0.25">
      <c r="A17" s="1"/>
      <c r="B17" s="81" t="s">
        <v>10</v>
      </c>
      <c r="C17" s="44">
        <f>-SUM(C9,C10:C16)*'Fane 5. Individuelt eff. krav'!G9</f>
        <v>-41079.07180982468</v>
      </c>
      <c r="D17" s="8" t="s">
        <v>3</v>
      </c>
      <c r="E17" s="1"/>
    </row>
    <row r="18" spans="1:5" ht="17.25" customHeight="1" x14ac:dyDescent="0.25">
      <c r="A18" s="1"/>
      <c r="B18" s="81" t="s">
        <v>24</v>
      </c>
      <c r="C18" s="44">
        <f>-'Fane 4.1. Gen. krav - drift'!G45</f>
        <v>-290182.33974687982</v>
      </c>
      <c r="D18" s="8" t="s">
        <v>3</v>
      </c>
      <c r="E18" s="1"/>
    </row>
    <row r="19" spans="1:5" ht="17.25" customHeight="1" x14ac:dyDescent="0.25">
      <c r="A19" s="1"/>
      <c r="B19" s="81" t="s">
        <v>25</v>
      </c>
      <c r="C19" s="44">
        <f>-'Fane 4.2. Gen. krav - anlæg'!G43</f>
        <v>-412005.78887135349</v>
      </c>
      <c r="D19" s="8" t="s">
        <v>3</v>
      </c>
      <c r="E19" s="48"/>
    </row>
    <row r="20" spans="1:5" ht="17.25" customHeight="1" x14ac:dyDescent="0.25">
      <c r="A20" s="1"/>
      <c r="B20" s="87" t="s">
        <v>21</v>
      </c>
      <c r="C20" s="10">
        <f>SUM(C9:C19)</f>
        <v>38858622.345343299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5889497.1545775998</v>
      </c>
      <c r="D22" s="11" t="s">
        <v>3</v>
      </c>
      <c r="E22" s="1"/>
    </row>
    <row r="23" spans="1:5" ht="15" customHeight="1" x14ac:dyDescent="0.25">
      <c r="A23" s="1"/>
      <c r="B23" s="32" t="s">
        <v>86</v>
      </c>
      <c r="C23" s="27"/>
      <c r="D23" s="19"/>
      <c r="E23" s="1"/>
    </row>
    <row r="24" spans="1:5" ht="15" customHeight="1" x14ac:dyDescent="0.25">
      <c r="A24" s="1"/>
      <c r="B24" s="87"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1" t="s">
        <v>231</v>
      </c>
      <c r="C26" s="74">
        <f>'Fane 11.2. Engangstillæg'!C12</f>
        <v>0</v>
      </c>
      <c r="D26" s="8" t="s">
        <v>3</v>
      </c>
      <c r="E26" s="1"/>
    </row>
    <row r="27" spans="1:5" ht="15" customHeight="1" x14ac:dyDescent="0.25">
      <c r="A27" s="1"/>
      <c r="B27" s="81" t="s">
        <v>82</v>
      </c>
      <c r="C27" s="74">
        <f>'Fane 11.2. Engangstillæg'!E12</f>
        <v>0</v>
      </c>
      <c r="D27" s="8" t="s">
        <v>3</v>
      </c>
      <c r="E27" s="1"/>
    </row>
    <row r="28" spans="1:5" ht="15" customHeight="1" x14ac:dyDescent="0.25">
      <c r="A28" s="1"/>
      <c r="B28" s="81" t="s">
        <v>238</v>
      </c>
      <c r="C28" s="74">
        <f>-C26*('Fane 15. Nøgletal'!C31+'Fane 5. Individuelt eff. krav'!G9)</f>
        <v>0</v>
      </c>
      <c r="D28" s="8" t="s">
        <v>3</v>
      </c>
      <c r="E28" s="1"/>
    </row>
    <row r="29" spans="1:5" ht="15" customHeight="1" x14ac:dyDescent="0.25">
      <c r="A29" s="1"/>
      <c r="B29" s="81" t="s">
        <v>239</v>
      </c>
      <c r="C29" s="74">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ØR2021'!E29</f>
        <v>-296029.77873994038</v>
      </c>
      <c r="D32" s="11" t="s">
        <v>3</v>
      </c>
      <c r="E32" s="1"/>
    </row>
    <row r="33" spans="1:5" ht="15" customHeight="1" x14ac:dyDescent="0.25">
      <c r="A33" s="1"/>
      <c r="B33" s="32" t="s">
        <v>185</v>
      </c>
      <c r="C33" s="27"/>
      <c r="D33" s="19"/>
      <c r="E33" s="1"/>
    </row>
    <row r="34" spans="1:5" x14ac:dyDescent="0.25">
      <c r="A34" s="1"/>
      <c r="B34" s="30" t="s">
        <v>185</v>
      </c>
      <c r="C34" s="10">
        <f>'Fane 9. Korrektion af ØR2021'!E17</f>
        <v>-338236.58999999997</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44113853.131180957</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vG0pyaUqGBrOl88ls9Hk40VKWoYUkhJCLPKuyRDM/fH12oFglynR4lT10jd0GZI1TPu8JrtM6HCusCrkceUg==" saltValue="b41CgLzy62E0248zjkvey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3" t="s">
        <v>261</v>
      </c>
      <c r="C3" s="123"/>
      <c r="D3" s="1"/>
    </row>
    <row r="4" spans="1:4" ht="25.5" customHeight="1" x14ac:dyDescent="0.25">
      <c r="A4" s="1"/>
      <c r="B4" s="123"/>
      <c r="C4" s="12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3" t="s">
        <v>112</v>
      </c>
      <c r="C9" s="24">
        <v>1.2699999999999999E-2</v>
      </c>
      <c r="D9" s="1"/>
    </row>
    <row r="10" spans="1:4" x14ac:dyDescent="0.25">
      <c r="A10" s="1"/>
      <c r="B10" s="93" t="s">
        <v>113</v>
      </c>
      <c r="C10" s="24">
        <v>1.7500000000000002E-2</v>
      </c>
      <c r="D10" s="1"/>
    </row>
    <row r="11" spans="1:4" x14ac:dyDescent="0.25">
      <c r="A11" s="1"/>
      <c r="B11" s="93"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3"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5">
        <v>2.8400000000000002E-2</v>
      </c>
      <c r="D23" s="1"/>
    </row>
    <row r="24" spans="1:4" x14ac:dyDescent="0.25">
      <c r="A24" s="1"/>
      <c r="B24" s="93" t="s">
        <v>147</v>
      </c>
      <c r="C24" s="35">
        <v>2.75E-2</v>
      </c>
      <c r="D24" s="1"/>
    </row>
    <row r="25" spans="1:4" x14ac:dyDescent="0.25">
      <c r="A25" s="1"/>
      <c r="B25" s="93"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3"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5P/YCSkrtL9xl6jR+HpO9DjtQN4Jv/B51NlOcrWHiv5nrJBjHuFbyTjUvSJSLP+5FB9gQg7HSQSOYzkZLM80cA==" saltValue="6b9GFTksL+Bm8HnVi9WVE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186</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38858622.345343299</v>
      </c>
      <c r="D9" s="8" t="s">
        <v>3</v>
      </c>
      <c r="E9" s="1"/>
    </row>
    <row r="10" spans="1:5" ht="15" customHeight="1" x14ac:dyDescent="0.25">
      <c r="A10" s="1"/>
      <c r="B10" s="25" t="s">
        <v>19</v>
      </c>
      <c r="C10" s="7">
        <f>SUM(C9:C9)*'Fane 15. Nøgletal'!C15</f>
        <v>1383366.9554942215</v>
      </c>
      <c r="D10" s="8" t="s">
        <v>3</v>
      </c>
      <c r="E10" s="1"/>
    </row>
    <row r="11" spans="1:5" ht="15" customHeight="1" x14ac:dyDescent="0.25">
      <c r="A11" s="1"/>
      <c r="B11" s="25" t="s">
        <v>10</v>
      </c>
      <c r="C11" s="9">
        <f>-SUM(C9:C10)*'Fane 5. Individuelt eff. krav'!G9</f>
        <v>-41743.047799491113</v>
      </c>
      <c r="D11" s="8" t="s">
        <v>3</v>
      </c>
      <c r="E11" s="1"/>
    </row>
    <row r="12" spans="1:5" ht="15" customHeight="1" x14ac:dyDescent="0.25">
      <c r="A12" s="1"/>
      <c r="B12" s="25" t="s">
        <v>24</v>
      </c>
      <c r="C12" s="9">
        <f>-'Fane 4.1. Gen. krav - drift'!G53</f>
        <v>-294502.5744210314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39905743.678617001</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2421579.2712805625</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ØR2021'!E35</f>
        <v>-965444.25357297249</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41361878.696324594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z7QDNogdLVqLg9zOmBZUyExqUk3soaA3gcxo5FbAS7L1/rP2uHsILjG58xn7wKuRGw3cD+Tq5l0LAD0uNMklw==" saltValue="jlgc7K/We6EaPdvUqTXm3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187</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39905743.678617001</v>
      </c>
      <c r="D9" s="8" t="s">
        <v>3</v>
      </c>
      <c r="E9" s="1"/>
    </row>
    <row r="10" spans="1:5" ht="15" customHeight="1" x14ac:dyDescent="0.25">
      <c r="A10" s="1"/>
      <c r="B10" s="25" t="s">
        <v>19</v>
      </c>
      <c r="C10" s="7">
        <f>SUM(C9:C9)*'Fane 15. Nøgletal'!C15</f>
        <v>1420644.4749587653</v>
      </c>
      <c r="D10" s="8" t="s">
        <v>3</v>
      </c>
      <c r="E10" s="1"/>
    </row>
    <row r="11" spans="1:5" ht="15" customHeight="1" x14ac:dyDescent="0.25">
      <c r="A11" s="1"/>
      <c r="B11" s="25" t="s">
        <v>10</v>
      </c>
      <c r="C11" s="9">
        <f>-SUM(C9:C10)*'Fane 5. Individuelt eff. krav'!G9</f>
        <v>-42867.895599761847</v>
      </c>
      <c r="D11" s="8" t="s">
        <v>3</v>
      </c>
      <c r="E11" s="1"/>
    </row>
    <row r="12" spans="1:5" ht="15" customHeight="1" x14ac:dyDescent="0.25">
      <c r="A12" s="1"/>
      <c r="B12" s="25" t="s">
        <v>24</v>
      </c>
      <c r="C12" s="9">
        <f>-'Fane 4.1. Gen. krav - drift'!G58</f>
        <v>-298887.12874901178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40984633.12922699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2489292.5901381508</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ØR2021'!E35</f>
        <v>-965444.25357297249</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42508481.465792172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5FrVJY+4WdXcyB/G7vo87wQp+d6f2ZPbbV2wIFctU5hUDfF4g+znk8t1taXb8igVh4CWUJRm0i6hB99H6o5FQ==" saltValue="iTaQjBKawYOlYiw0VgIcQ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188</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40984633.12922699</v>
      </c>
      <c r="D9" s="8" t="s">
        <v>3</v>
      </c>
      <c r="E9" s="1"/>
    </row>
    <row r="10" spans="1:5" ht="15" customHeight="1" x14ac:dyDescent="0.25">
      <c r="A10" s="1"/>
      <c r="B10" s="25" t="s">
        <v>19</v>
      </c>
      <c r="C10" s="7">
        <f>SUM(C9:C9)*'Fane 15. Nøgletal'!C15</f>
        <v>1459052.9394004808</v>
      </c>
      <c r="D10" s="8" t="s">
        <v>3</v>
      </c>
      <c r="E10" s="1"/>
    </row>
    <row r="11" spans="1:5" ht="15" customHeight="1" x14ac:dyDescent="0.25">
      <c r="A11" s="1"/>
      <c r="B11" s="25" t="s">
        <v>10</v>
      </c>
      <c r="C11" s="9">
        <f>-SUM(C9:C10)*'Fane 5. Individuelt eff. krav'!G9</f>
        <v>-44026.869623774728</v>
      </c>
      <c r="D11" s="8" t="s">
        <v>3</v>
      </c>
      <c r="E11" s="1"/>
    </row>
    <row r="12" spans="1:5" ht="15" customHeight="1" x14ac:dyDescent="0.25">
      <c r="A12" s="1"/>
      <c r="B12" s="25" t="s">
        <v>24</v>
      </c>
      <c r="C12" s="9">
        <f>-'Fane 4.1. Gen. krav - drift'!G63</f>
        <v>-303336.96032182709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42096322.238681868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2559383.8979470693</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ØR2021'!E35</f>
        <v>-965444.25357297249</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43690261.88305597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Yy2otTTwNNubCTVUgAAFCRPmxwue1m1uANI/4mrI4Qs9etZI/leM4BVeMUvLnstXED7qsbXn7WILLo7X7TFSA==" saltValue="qWSdjdBv7OP9guk6nP95u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191</v>
      </c>
      <c r="C3" s="123"/>
      <c r="D3" s="123"/>
      <c r="E3" s="123"/>
      <c r="F3" s="123"/>
      <c r="G3" s="1"/>
    </row>
    <row r="4" spans="1:7" ht="29.2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0" t="s">
        <v>192</v>
      </c>
      <c r="C9" s="121"/>
      <c r="D9" s="122"/>
      <c r="E9" s="7">
        <v>39749210.148197427</v>
      </c>
      <c r="F9" s="8" t="s">
        <v>3</v>
      </c>
      <c r="G9" s="1"/>
    </row>
    <row r="10" spans="1:7" ht="15" customHeight="1" x14ac:dyDescent="0.25">
      <c r="A10" s="1"/>
      <c r="B10" s="124" t="s">
        <v>39</v>
      </c>
      <c r="C10" s="125"/>
      <c r="D10" s="126"/>
      <c r="E10" s="7">
        <v>58424.165600000008</v>
      </c>
      <c r="F10" s="8" t="s">
        <v>3</v>
      </c>
      <c r="G10" s="1"/>
    </row>
    <row r="11" spans="1:7" ht="15" customHeight="1" x14ac:dyDescent="0.25">
      <c r="A11" s="1"/>
      <c r="B11" s="124" t="s">
        <v>40</v>
      </c>
      <c r="C11" s="125"/>
      <c r="D11" s="126"/>
      <c r="E11" s="9">
        <v>8148.8026000000009</v>
      </c>
      <c r="F11" s="8" t="s">
        <v>3</v>
      </c>
      <c r="G11" s="1"/>
    </row>
    <row r="12" spans="1:7" ht="15" customHeight="1" x14ac:dyDescent="0.25">
      <c r="A12" s="1"/>
      <c r="B12" s="124" t="s">
        <v>27</v>
      </c>
      <c r="C12" s="125"/>
      <c r="D12" s="126"/>
      <c r="E12" s="9">
        <v>0</v>
      </c>
      <c r="F12" s="8" t="s">
        <v>3</v>
      </c>
      <c r="G12" s="1"/>
    </row>
    <row r="13" spans="1:7" ht="15" customHeight="1" x14ac:dyDescent="0.25">
      <c r="A13" s="1"/>
      <c r="B13" s="120" t="s">
        <v>26</v>
      </c>
      <c r="C13" s="121"/>
      <c r="D13" s="122"/>
      <c r="E13" s="9">
        <v>0</v>
      </c>
      <c r="F13" s="8" t="s">
        <v>3</v>
      </c>
      <c r="G13" s="1"/>
    </row>
    <row r="14" spans="1:7" ht="15" customHeight="1" x14ac:dyDescent="0.25">
      <c r="A14" s="1"/>
      <c r="B14" s="120" t="s">
        <v>29</v>
      </c>
      <c r="C14" s="121"/>
      <c r="D14" s="122"/>
      <c r="E14" s="9">
        <v>0</v>
      </c>
      <c r="F14" s="8" t="s">
        <v>3</v>
      </c>
      <c r="G14" s="1"/>
    </row>
    <row r="15" spans="1:7" ht="15" customHeight="1" x14ac:dyDescent="0.25">
      <c r="A15" s="1"/>
      <c r="B15" s="120" t="s">
        <v>28</v>
      </c>
      <c r="C15" s="121"/>
      <c r="D15" s="122"/>
      <c r="E15" s="9">
        <v>0</v>
      </c>
      <c r="F15" s="8" t="s">
        <v>3</v>
      </c>
      <c r="G15" s="1"/>
    </row>
    <row r="16" spans="1:7" ht="15" customHeight="1" x14ac:dyDescent="0.25">
      <c r="A16" s="1"/>
      <c r="B16" s="120" t="s">
        <v>19</v>
      </c>
      <c r="C16" s="121"/>
      <c r="D16" s="122"/>
      <c r="E16" s="9">
        <f>SUM(E9:E15)*'Fane 15. Nøgletal'!C14</f>
        <v>131392.08428411151</v>
      </c>
      <c r="F16" s="8" t="s">
        <v>3</v>
      </c>
      <c r="G16" s="1"/>
    </row>
    <row r="17" spans="1:7" ht="15" customHeight="1" x14ac:dyDescent="0.25">
      <c r="A17" s="1"/>
      <c r="B17" s="120" t="s">
        <v>10</v>
      </c>
      <c r="C17" s="121"/>
      <c r="D17" s="122"/>
      <c r="E17" s="9">
        <v>-41437.236896785085</v>
      </c>
      <c r="F17" s="8" t="s">
        <v>3</v>
      </c>
      <c r="G17" s="1"/>
    </row>
    <row r="18" spans="1:7" ht="15" customHeight="1" x14ac:dyDescent="0.25">
      <c r="A18" s="1"/>
      <c r="B18" s="120" t="s">
        <v>24</v>
      </c>
      <c r="C18" s="121"/>
      <c r="D18" s="122"/>
      <c r="E18" s="9">
        <f>-'Fane 4.1. Gen. krav - drift'!G39</f>
        <v>-295130.49767082895</v>
      </c>
      <c r="F18" s="8" t="s">
        <v>3</v>
      </c>
      <c r="G18" s="1"/>
    </row>
    <row r="19" spans="1:7" ht="15" customHeight="1" x14ac:dyDescent="0.25">
      <c r="A19" s="1"/>
      <c r="B19" s="120" t="s">
        <v>25</v>
      </c>
      <c r="C19" s="121"/>
      <c r="D19" s="122"/>
      <c r="E19" s="9">
        <f>-'Fane 4.2. Gen. krav - anlæg'!G37</f>
        <v>-416819.57141044119</v>
      </c>
      <c r="F19" s="8" t="s">
        <v>3</v>
      </c>
      <c r="G19" s="1"/>
    </row>
    <row r="20" spans="1:7" ht="15" customHeight="1" x14ac:dyDescent="0.25">
      <c r="A20" s="1"/>
      <c r="B20" s="54" t="s">
        <v>21</v>
      </c>
      <c r="C20" s="88"/>
      <c r="D20" s="94"/>
      <c r="E20" s="51">
        <f>SUM(E9:E19)</f>
        <v>39193787.894703485</v>
      </c>
      <c r="F20" s="53" t="s">
        <v>3</v>
      </c>
      <c r="G20" s="1"/>
    </row>
    <row r="21" spans="1:7" ht="15" customHeight="1" x14ac:dyDescent="0.25">
      <c r="A21" s="1"/>
      <c r="B21" s="32" t="s">
        <v>12</v>
      </c>
      <c r="C21" s="27"/>
      <c r="D21" s="27"/>
      <c r="E21" s="27"/>
      <c r="F21" s="19"/>
      <c r="G21" s="1"/>
    </row>
    <row r="22" spans="1:7" ht="15" customHeight="1" x14ac:dyDescent="0.25">
      <c r="A22" s="1"/>
      <c r="B22" s="127" t="s">
        <v>12</v>
      </c>
      <c r="C22" s="128"/>
      <c r="D22" s="129"/>
      <c r="E22" s="10">
        <v>5613621.9451241307</v>
      </c>
      <c r="F22" s="11" t="s">
        <v>3</v>
      </c>
      <c r="G22" s="1"/>
    </row>
    <row r="23" spans="1:7" ht="15" customHeight="1" x14ac:dyDescent="0.25">
      <c r="A23" s="1"/>
      <c r="B23" s="130" t="s">
        <v>86</v>
      </c>
      <c r="C23" s="131"/>
      <c r="D23" s="132"/>
      <c r="E23" s="27"/>
      <c r="F23" s="27"/>
      <c r="G23" s="1"/>
    </row>
    <row r="24" spans="1:7" ht="15" customHeight="1" x14ac:dyDescent="0.25">
      <c r="A24" s="1"/>
      <c r="B24" s="87"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4" t="s">
        <v>81</v>
      </c>
      <c r="C26" s="125"/>
      <c r="D26" s="126"/>
      <c r="E26" s="9">
        <v>0</v>
      </c>
      <c r="F26" s="8" t="s">
        <v>3</v>
      </c>
      <c r="G26" s="1"/>
    </row>
    <row r="27" spans="1:7" ht="15" customHeight="1" x14ac:dyDescent="0.25">
      <c r="A27" s="1"/>
      <c r="B27" s="124" t="s">
        <v>82</v>
      </c>
      <c r="C27" s="125"/>
      <c r="D27" s="125"/>
      <c r="E27" s="9">
        <v>0</v>
      </c>
      <c r="F27" s="8" t="s">
        <v>3</v>
      </c>
      <c r="G27" s="1"/>
    </row>
    <row r="28" spans="1:7" ht="15" customHeight="1" x14ac:dyDescent="0.25">
      <c r="A28" s="1"/>
      <c r="B28" s="133" t="s">
        <v>87</v>
      </c>
      <c r="C28" s="134"/>
      <c r="D28" s="134"/>
      <c r="E28" s="39">
        <v>724613.30658480979</v>
      </c>
      <c r="F28" s="11" t="s">
        <v>3</v>
      </c>
      <c r="G28" s="1"/>
    </row>
    <row r="29" spans="1:7" ht="15" customHeight="1" x14ac:dyDescent="0.25">
      <c r="A29" s="1"/>
      <c r="B29" s="32" t="s">
        <v>143</v>
      </c>
      <c r="C29" s="32"/>
      <c r="D29" s="32"/>
      <c r="E29" s="27"/>
      <c r="F29" s="27"/>
      <c r="G29" s="1"/>
    </row>
    <row r="30" spans="1:7" ht="15" customHeight="1" x14ac:dyDescent="0.25">
      <c r="A30" s="1"/>
      <c r="B30" s="127" t="s">
        <v>142</v>
      </c>
      <c r="C30" s="128"/>
      <c r="D30" s="128"/>
      <c r="E30" s="39">
        <v>-296029.77873994038</v>
      </c>
      <c r="F30" s="11" t="s">
        <v>3</v>
      </c>
      <c r="G30" s="1"/>
    </row>
    <row r="31" spans="1:7" x14ac:dyDescent="0.25">
      <c r="A31" s="1"/>
      <c r="B31" s="32" t="s">
        <v>123</v>
      </c>
      <c r="C31" s="27"/>
      <c r="D31" s="27"/>
      <c r="E31" s="27"/>
      <c r="F31" s="27"/>
      <c r="G31" s="1"/>
    </row>
    <row r="32" spans="1:7" ht="15.4" customHeight="1" x14ac:dyDescent="0.25">
      <c r="A32" s="1"/>
      <c r="B32" s="127" t="s">
        <v>123</v>
      </c>
      <c r="C32" s="128"/>
      <c r="D32" s="129"/>
      <c r="E32" s="10">
        <v>-136695</v>
      </c>
      <c r="F32" s="11" t="s">
        <v>3</v>
      </c>
      <c r="G32" s="1"/>
    </row>
    <row r="33" spans="1:7" ht="15.4" customHeight="1" x14ac:dyDescent="0.25">
      <c r="A33" s="1"/>
      <c r="B33" s="130" t="s">
        <v>175</v>
      </c>
      <c r="C33" s="131"/>
      <c r="D33" s="131"/>
      <c r="E33" s="131"/>
      <c r="F33" s="132"/>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45099298.367672488</v>
      </c>
      <c r="F35" s="52" t="s">
        <v>3</v>
      </c>
      <c r="G35" s="1"/>
    </row>
    <row r="36" spans="1:7" ht="27" customHeight="1" x14ac:dyDescent="0.25">
      <c r="A36" s="1"/>
      <c r="B36" s="120" t="s">
        <v>222</v>
      </c>
      <c r="C36" s="121"/>
      <c r="D36" s="121"/>
      <c r="E36" s="121"/>
      <c r="F36" s="12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dCGgwbRNvRVawsegkhYddMFeyrRfQpYhaSozJ05JFe+ePnVT8Xj6QgVbiSHBOAxbn+UXnRB24mX/lHRY35drkA==" saltValue="+ALoYEZU00vdI5UHfIS5b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7109375" style="2" customWidth="1"/>
    <col min="2" max="5" width="9.140625" style="2"/>
    <col min="6" max="6" width="26" style="2" customWidth="1"/>
    <col min="7" max="7" width="16.28515625" style="2" customWidth="1"/>
    <col min="8" max="8" width="3.42578125" style="2" customWidth="1"/>
    <col min="9" max="9" width="1.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3" t="s">
        <v>109</v>
      </c>
      <c r="C2" s="123"/>
      <c r="D2" s="123"/>
      <c r="E2" s="123"/>
      <c r="F2" s="123"/>
      <c r="G2" s="123"/>
      <c r="H2" s="123"/>
      <c r="I2" s="1"/>
    </row>
    <row r="3" spans="1:9" ht="28.5" customHeight="1" x14ac:dyDescent="0.25">
      <c r="A3" s="1"/>
      <c r="B3" s="123"/>
      <c r="C3" s="123"/>
      <c r="D3" s="123"/>
      <c r="E3" s="123"/>
      <c r="F3" s="123"/>
      <c r="G3" s="123"/>
      <c r="H3" s="123"/>
      <c r="I3" s="1"/>
    </row>
    <row r="4" spans="1:9" x14ac:dyDescent="0.25">
      <c r="A4" s="1"/>
      <c r="B4" s="130" t="s">
        <v>52</v>
      </c>
      <c r="C4" s="131"/>
      <c r="D4" s="131"/>
      <c r="E4" s="131"/>
      <c r="F4" s="131"/>
      <c r="G4" s="131"/>
      <c r="H4" s="132"/>
      <c r="I4" s="1"/>
    </row>
    <row r="5" spans="1:9" x14ac:dyDescent="0.25">
      <c r="A5" s="1"/>
      <c r="B5" s="135" t="s">
        <v>41</v>
      </c>
      <c r="C5" s="136"/>
      <c r="D5" s="136"/>
      <c r="E5" s="136"/>
      <c r="F5" s="137"/>
      <c r="G5" s="75">
        <v>15340944.954585282</v>
      </c>
      <c r="H5" s="14" t="s">
        <v>3</v>
      </c>
      <c r="I5" s="1"/>
    </row>
    <row r="6" spans="1:9" x14ac:dyDescent="0.25">
      <c r="A6" s="1"/>
      <c r="B6" s="120" t="s">
        <v>120</v>
      </c>
      <c r="C6" s="121"/>
      <c r="D6" s="121"/>
      <c r="E6" s="121"/>
      <c r="F6" s="122"/>
      <c r="G6" s="76">
        <v>0</v>
      </c>
      <c r="H6" s="14" t="s">
        <v>3</v>
      </c>
      <c r="I6" s="1"/>
    </row>
    <row r="7" spans="1:9" x14ac:dyDescent="0.25">
      <c r="A7" s="1"/>
      <c r="B7" s="135" t="s">
        <v>42</v>
      </c>
      <c r="C7" s="136"/>
      <c r="D7" s="136"/>
      <c r="E7" s="136"/>
      <c r="F7" s="137"/>
      <c r="G7" s="75">
        <f>SUM(G5:G6)*'Fane 15. Nøgletal'!C31</f>
        <v>306818.89909170562</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30" t="s">
        <v>53</v>
      </c>
      <c r="C10" s="131"/>
      <c r="D10" s="131"/>
      <c r="E10" s="131"/>
      <c r="F10" s="131"/>
      <c r="G10" s="138"/>
      <c r="H10" s="132"/>
      <c r="I10" s="1"/>
    </row>
    <row r="11" spans="1:9" x14ac:dyDescent="0.25">
      <c r="A11" s="1"/>
      <c r="B11" s="135" t="s">
        <v>43</v>
      </c>
      <c r="C11" s="136"/>
      <c r="D11" s="136"/>
      <c r="E11" s="136"/>
      <c r="F11" s="137"/>
      <c r="G11" s="75">
        <f>(G5-G7)*(1+'Fane 15. Nøgletal'!C10)</f>
        <v>15297223.261464715</v>
      </c>
      <c r="H11" s="14" t="s">
        <v>3</v>
      </c>
      <c r="I11" s="1"/>
    </row>
    <row r="12" spans="1:9" ht="15" customHeight="1" x14ac:dyDescent="0.25">
      <c r="A12" s="1"/>
      <c r="B12" s="135" t="s">
        <v>121</v>
      </c>
      <c r="C12" s="136"/>
      <c r="D12" s="136"/>
      <c r="E12" s="136"/>
      <c r="F12" s="137"/>
      <c r="G12" s="76">
        <v>-361559.51541102323</v>
      </c>
      <c r="H12" s="14" t="s">
        <v>3</v>
      </c>
      <c r="I12" s="1"/>
    </row>
    <row r="13" spans="1:9" x14ac:dyDescent="0.25">
      <c r="A13" s="1"/>
      <c r="B13" s="120" t="s">
        <v>118</v>
      </c>
      <c r="C13" s="121"/>
      <c r="D13" s="121"/>
      <c r="E13" s="121"/>
      <c r="F13" s="122"/>
      <c r="G13" s="76">
        <v>0</v>
      </c>
      <c r="H13" s="14" t="s">
        <v>3</v>
      </c>
      <c r="I13" s="1"/>
    </row>
    <row r="14" spans="1:9" x14ac:dyDescent="0.25">
      <c r="A14" s="1"/>
      <c r="B14" s="142" t="s">
        <v>44</v>
      </c>
      <c r="C14" s="143"/>
      <c r="D14" s="143"/>
      <c r="E14" s="143"/>
      <c r="F14" s="144"/>
      <c r="G14" s="76">
        <v>457369.31267500005</v>
      </c>
      <c r="H14" s="14" t="s">
        <v>3</v>
      </c>
      <c r="I14" s="1"/>
    </row>
    <row r="15" spans="1:9" x14ac:dyDescent="0.25">
      <c r="A15" s="1"/>
      <c r="B15" s="135" t="s">
        <v>45</v>
      </c>
      <c r="C15" s="136"/>
      <c r="D15" s="136"/>
      <c r="E15" s="136"/>
      <c r="F15" s="137"/>
      <c r="G15" s="75">
        <f>SUM(G11:G14)*'Fane 15. Nøgletal'!C31</f>
        <v>307860.66117457382</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30" t="s">
        <v>54</v>
      </c>
      <c r="C18" s="131"/>
      <c r="D18" s="131"/>
      <c r="E18" s="131"/>
      <c r="F18" s="131"/>
      <c r="G18" s="138"/>
      <c r="H18" s="132"/>
      <c r="I18" s="1"/>
    </row>
    <row r="19" spans="1:9" x14ac:dyDescent="0.25">
      <c r="A19" s="1"/>
      <c r="B19" s="135" t="s">
        <v>46</v>
      </c>
      <c r="C19" s="136"/>
      <c r="D19" s="136"/>
      <c r="E19" s="136"/>
      <c r="F19" s="137"/>
      <c r="G19" s="75">
        <f>(SUM(G11:G12,G14)-(G15))*(1+'Fane 15. Nøgletal'!C10)</f>
        <v>15349162.914511316</v>
      </c>
      <c r="H19" s="14" t="s">
        <v>3</v>
      </c>
      <c r="I19" s="1"/>
    </row>
    <row r="20" spans="1:9" x14ac:dyDescent="0.25">
      <c r="A20" s="1"/>
      <c r="B20" s="142" t="s">
        <v>47</v>
      </c>
      <c r="C20" s="143"/>
      <c r="D20" s="143"/>
      <c r="E20" s="143"/>
      <c r="F20" s="144"/>
      <c r="G20" s="76">
        <v>-446494.89989683917</v>
      </c>
      <c r="H20" s="14" t="s">
        <v>3</v>
      </c>
      <c r="I20" s="1"/>
    </row>
    <row r="21" spans="1:9" x14ac:dyDescent="0.25">
      <c r="A21" s="1"/>
      <c r="B21" s="135" t="s">
        <v>48</v>
      </c>
      <c r="C21" s="136"/>
      <c r="D21" s="136"/>
      <c r="E21" s="136"/>
      <c r="F21" s="137"/>
      <c r="G21" s="75">
        <f>SUM(G19:G20)*'Fane 15. Nøgletal'!C31</f>
        <v>298053.36029228952</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30" t="s">
        <v>55</v>
      </c>
      <c r="C24" s="131"/>
      <c r="D24" s="131"/>
      <c r="E24" s="131"/>
      <c r="F24" s="131"/>
      <c r="G24" s="138"/>
      <c r="H24" s="132"/>
      <c r="I24" s="1"/>
    </row>
    <row r="25" spans="1:9" x14ac:dyDescent="0.25">
      <c r="A25" s="1"/>
      <c r="B25" s="135" t="s">
        <v>49</v>
      </c>
      <c r="C25" s="136"/>
      <c r="D25" s="136"/>
      <c r="E25" s="136"/>
      <c r="F25" s="137"/>
      <c r="G25" s="75">
        <f>(G19+G20-G21)*(1+'Fane 15. Nøgletal'!C12)</f>
        <v>14892325.563012334</v>
      </c>
      <c r="H25" s="14" t="s">
        <v>3</v>
      </c>
      <c r="I25" s="1"/>
    </row>
    <row r="26" spans="1:9" x14ac:dyDescent="0.25">
      <c r="A26" s="1"/>
      <c r="B26" s="142" t="s">
        <v>50</v>
      </c>
      <c r="C26" s="143"/>
      <c r="D26" s="143"/>
      <c r="E26" s="143"/>
      <c r="F26" s="144"/>
      <c r="G26" s="76">
        <v>52416.757404990007</v>
      </c>
      <c r="H26" s="14" t="s">
        <v>3</v>
      </c>
      <c r="I26" s="1"/>
    </row>
    <row r="27" spans="1:9" x14ac:dyDescent="0.25">
      <c r="A27" s="1"/>
      <c r="B27" s="135" t="s">
        <v>51</v>
      </c>
      <c r="C27" s="136"/>
      <c r="D27" s="136"/>
      <c r="E27" s="136"/>
      <c r="F27" s="137"/>
      <c r="G27" s="75">
        <f>(G25+G26)*'Fane 15. Nøgletal'!C31</f>
        <v>298894.84640834649</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30" t="s">
        <v>58</v>
      </c>
      <c r="C30" s="131"/>
      <c r="D30" s="131"/>
      <c r="E30" s="131"/>
      <c r="F30" s="131"/>
      <c r="G30" s="138"/>
      <c r="H30" s="132"/>
      <c r="I30" s="1"/>
    </row>
    <row r="31" spans="1:9" x14ac:dyDescent="0.25">
      <c r="A31" s="1"/>
      <c r="B31" s="135" t="s">
        <v>59</v>
      </c>
      <c r="C31" s="136"/>
      <c r="D31" s="136"/>
      <c r="E31" s="136"/>
      <c r="F31" s="137"/>
      <c r="G31" s="75">
        <f>(G25+G26-G27)*(1+'Fane 15. Nøgletal'!C12)</f>
        <v>14934370.669246955</v>
      </c>
      <c r="H31" s="14" t="s">
        <v>3</v>
      </c>
      <c r="I31" s="1"/>
    </row>
    <row r="32" spans="1:9" x14ac:dyDescent="0.25">
      <c r="A32" s="1"/>
      <c r="B32" s="135" t="s">
        <v>137</v>
      </c>
      <c r="C32" s="136"/>
      <c r="D32" s="136"/>
      <c r="E32" s="136"/>
      <c r="F32" s="137"/>
      <c r="G32" s="75">
        <v>14164.387712999998</v>
      </c>
      <c r="H32" s="14" t="s">
        <v>3</v>
      </c>
      <c r="I32" s="1"/>
    </row>
    <row r="33" spans="1:9" x14ac:dyDescent="0.25">
      <c r="A33" s="1"/>
      <c r="B33" s="135" t="s">
        <v>60</v>
      </c>
      <c r="C33" s="136"/>
      <c r="D33" s="136"/>
      <c r="E33" s="136"/>
      <c r="F33" s="137"/>
      <c r="G33" s="75">
        <f>(G31+G32)*'Fane 15. Nøgletal'!C31</f>
        <v>298970.70113919908</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30" t="s">
        <v>160</v>
      </c>
      <c r="C36" s="131"/>
      <c r="D36" s="131"/>
      <c r="E36" s="131"/>
      <c r="F36" s="131"/>
      <c r="G36" s="138"/>
      <c r="H36" s="132"/>
      <c r="I36" s="1"/>
    </row>
    <row r="37" spans="1:9" x14ac:dyDescent="0.25">
      <c r="A37" s="1"/>
      <c r="B37" s="135" t="s">
        <v>79</v>
      </c>
      <c r="C37" s="136"/>
      <c r="D37" s="136"/>
      <c r="E37" s="136"/>
      <c r="F37" s="137"/>
      <c r="G37" s="75">
        <f>(G31+G32-G33)*(1+'Fane 15. Nøgletal'!C14)</f>
        <v>14697907.918194966</v>
      </c>
      <c r="H37" s="14" t="s">
        <v>3</v>
      </c>
      <c r="I37" s="1"/>
    </row>
    <row r="38" spans="1:9" x14ac:dyDescent="0.25">
      <c r="A38" s="1"/>
      <c r="B38" s="135" t="s">
        <v>164</v>
      </c>
      <c r="C38" s="136"/>
      <c r="D38" s="136"/>
      <c r="E38" s="136"/>
      <c r="F38" s="137"/>
      <c r="G38" s="75">
        <v>58616.965346480014</v>
      </c>
      <c r="H38" s="14" t="s">
        <v>3</v>
      </c>
      <c r="I38" s="1"/>
    </row>
    <row r="39" spans="1:9" x14ac:dyDescent="0.25">
      <c r="A39" s="1"/>
      <c r="B39" s="135" t="s">
        <v>162</v>
      </c>
      <c r="C39" s="136"/>
      <c r="D39" s="136"/>
      <c r="E39" s="136"/>
      <c r="F39" s="137"/>
      <c r="G39" s="75">
        <f>(G37+G38)*'Fane 15. Nøgletal'!C31</f>
        <v>295130.49767082895</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30" t="s">
        <v>161</v>
      </c>
      <c r="C42" s="131"/>
      <c r="D42" s="131"/>
      <c r="E42" s="131"/>
      <c r="F42" s="131"/>
      <c r="G42" s="138"/>
      <c r="H42" s="132"/>
      <c r="I42" s="1"/>
    </row>
    <row r="43" spans="1:9" x14ac:dyDescent="0.25">
      <c r="A43" s="1"/>
      <c r="B43" s="135" t="s">
        <v>228</v>
      </c>
      <c r="C43" s="136"/>
      <c r="D43" s="136"/>
      <c r="E43" s="136"/>
      <c r="F43" s="137"/>
      <c r="G43" s="75">
        <f>(G37+G38-G39)*(1+'Fane 15. Nøgletal'!C14)</f>
        <v>14509116.987343991</v>
      </c>
      <c r="H43" s="14" t="s">
        <v>3</v>
      </c>
      <c r="I43" s="1"/>
    </row>
    <row r="44" spans="1:9" x14ac:dyDescent="0.25">
      <c r="A44" s="1"/>
      <c r="B44" s="139" t="s">
        <v>230</v>
      </c>
      <c r="C44" s="140"/>
      <c r="D44" s="140"/>
      <c r="E44" s="140"/>
      <c r="F44" s="141"/>
      <c r="G44" s="79">
        <f>('Fane 2.1. Økonomisk ramme 2023'!C10+'Fane 2.1. Økonomisk ramme 2023'!C12+'Fane 2.1. Økonomisk ramme 2023'!C14)*(1+'Fane 15. Nøgletal'!C15)</f>
        <v>0</v>
      </c>
      <c r="H44" s="14" t="s">
        <v>3</v>
      </c>
      <c r="I44" s="1"/>
    </row>
    <row r="45" spans="1:9" x14ac:dyDescent="0.25">
      <c r="A45" s="1"/>
      <c r="B45" s="135" t="s">
        <v>163</v>
      </c>
      <c r="C45" s="136"/>
      <c r="D45" s="136"/>
      <c r="E45" s="136"/>
      <c r="F45" s="137"/>
      <c r="G45" s="75">
        <f>SUM(G43:G44)*'Fane 15. Nøgletal'!C31</f>
        <v>290182.33974687982</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30" t="s">
        <v>241</v>
      </c>
      <c r="C51" s="131"/>
      <c r="D51" s="131"/>
      <c r="E51" s="131"/>
      <c r="F51" s="131"/>
      <c r="G51" s="138"/>
      <c r="H51" s="132"/>
      <c r="I51" s="1"/>
    </row>
    <row r="52" spans="1:9" x14ac:dyDescent="0.25">
      <c r="A52" s="1"/>
      <c r="B52" s="135" t="s">
        <v>227</v>
      </c>
      <c r="C52" s="136"/>
      <c r="D52" s="136"/>
      <c r="E52" s="136"/>
      <c r="F52" s="137"/>
      <c r="G52" s="75">
        <f>(G43+G44-G45)*(1+'Fane 15. Nøgletal'!C15)</f>
        <v>14725128.72105157</v>
      </c>
      <c r="H52" s="14" t="s">
        <v>3</v>
      </c>
      <c r="I52" s="1"/>
    </row>
    <row r="53" spans="1:9" x14ac:dyDescent="0.25">
      <c r="A53" s="1"/>
      <c r="B53" s="135" t="s">
        <v>138</v>
      </c>
      <c r="C53" s="136"/>
      <c r="D53" s="136"/>
      <c r="E53" s="136"/>
      <c r="F53" s="137"/>
      <c r="G53" s="75">
        <f>(G52)*'Fane 15. Nøgletal'!C31</f>
        <v>294502.5744210314</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30" t="s">
        <v>150</v>
      </c>
      <c r="C56" s="131"/>
      <c r="D56" s="131"/>
      <c r="E56" s="131"/>
      <c r="F56" s="131"/>
      <c r="G56" s="138"/>
      <c r="H56" s="132"/>
      <c r="I56" s="1"/>
    </row>
    <row r="57" spans="1:9" x14ac:dyDescent="0.25">
      <c r="A57" s="1"/>
      <c r="B57" s="90" t="s">
        <v>151</v>
      </c>
      <c r="C57" s="91"/>
      <c r="D57" s="91"/>
      <c r="E57" s="91"/>
      <c r="F57" s="92"/>
      <c r="G57" s="75">
        <f>(G52-G53)*(1+'Fane 15. Nøgletal'!C15)</f>
        <v>14944356.437450588</v>
      </c>
      <c r="H57" s="14" t="s">
        <v>3</v>
      </c>
      <c r="I57" s="1"/>
    </row>
    <row r="58" spans="1:9" x14ac:dyDescent="0.25">
      <c r="A58" s="1"/>
      <c r="B58" s="90" t="s">
        <v>152</v>
      </c>
      <c r="C58" s="91"/>
      <c r="D58" s="91"/>
      <c r="E58" s="91"/>
      <c r="F58" s="92"/>
      <c r="G58" s="75">
        <f>(G57)*'Fane 15. Nøgletal'!C31</f>
        <v>298887.12874901178</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30" t="s">
        <v>193</v>
      </c>
      <c r="C61" s="131"/>
      <c r="D61" s="131"/>
      <c r="E61" s="131"/>
      <c r="F61" s="131"/>
      <c r="G61" s="138"/>
      <c r="H61" s="132"/>
      <c r="I61" s="1"/>
    </row>
    <row r="62" spans="1:9" x14ac:dyDescent="0.25">
      <c r="A62" s="1"/>
      <c r="B62" s="90" t="s">
        <v>194</v>
      </c>
      <c r="C62" s="91"/>
      <c r="D62" s="91"/>
      <c r="E62" s="91"/>
      <c r="F62" s="92"/>
      <c r="G62" s="75">
        <f>(G57-G58)*(1+'Fane 15. Nøgletal'!C15)</f>
        <v>15166848.016091354</v>
      </c>
      <c r="H62" s="14" t="s">
        <v>3</v>
      </c>
      <c r="I62" s="1"/>
    </row>
    <row r="63" spans="1:9" x14ac:dyDescent="0.25">
      <c r="A63" s="1"/>
      <c r="B63" s="90" t="s">
        <v>195</v>
      </c>
      <c r="C63" s="91"/>
      <c r="D63" s="91"/>
      <c r="E63" s="91"/>
      <c r="F63" s="92"/>
      <c r="G63" s="75">
        <f>(G62)*'Fane 15. Nøgletal'!C31</f>
        <v>303336.96032182709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qbObYjujk5jp67HPfQ7lpk8ltnGgZBODReI2e6WMUA7bCx59u2pRptbWFUlqj+t/95WJVMTMxy75FyGKrt3yTA==" saltValue="u884goOFEEcYyb21y4EF7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28515625" style="2" customWidth="1"/>
    <col min="2" max="5" width="9.140625" style="2"/>
    <col min="6" max="6" width="30.140625" style="2" customWidth="1"/>
    <col min="7" max="7" width="14.140625" style="2" customWidth="1"/>
    <col min="8" max="8" width="3.28515625" style="2" customWidth="1"/>
    <col min="9" max="9" width="1.42578125" style="2" customWidth="1"/>
    <col min="10" max="16384" width="9.140625" style="2"/>
  </cols>
  <sheetData>
    <row r="1" spans="1:9" ht="14.25" customHeight="1" x14ac:dyDescent="0.25">
      <c r="A1" s="1"/>
      <c r="B1" s="145" t="s">
        <v>110</v>
      </c>
      <c r="C1" s="145"/>
      <c r="D1" s="145"/>
      <c r="E1" s="145"/>
      <c r="F1" s="145"/>
      <c r="G1" s="145"/>
      <c r="H1" s="145"/>
      <c r="I1" s="1"/>
    </row>
    <row r="2" spans="1:9" ht="15" customHeight="1" x14ac:dyDescent="0.25">
      <c r="A2" s="1"/>
      <c r="B2" s="145"/>
      <c r="C2" s="145"/>
      <c r="D2" s="145"/>
      <c r="E2" s="145"/>
      <c r="F2" s="145"/>
      <c r="G2" s="145"/>
      <c r="H2" s="145"/>
      <c r="I2" s="1"/>
    </row>
    <row r="3" spans="1:9" ht="15" customHeight="1" x14ac:dyDescent="0.25">
      <c r="A3" s="1"/>
      <c r="B3" s="146"/>
      <c r="C3" s="146"/>
      <c r="D3" s="146"/>
      <c r="E3" s="146"/>
      <c r="F3" s="146"/>
      <c r="G3" s="146"/>
      <c r="H3" s="146"/>
      <c r="I3" s="1"/>
    </row>
    <row r="4" spans="1:9" x14ac:dyDescent="0.25">
      <c r="A4" s="1"/>
      <c r="B4" s="130" t="s">
        <v>56</v>
      </c>
      <c r="C4" s="131"/>
      <c r="D4" s="131"/>
      <c r="E4" s="131"/>
      <c r="F4" s="131"/>
      <c r="G4" s="131"/>
      <c r="H4" s="132"/>
      <c r="I4" s="1"/>
    </row>
    <row r="5" spans="1:9" x14ac:dyDescent="0.25">
      <c r="A5" s="1"/>
      <c r="B5" s="135" t="s">
        <v>61</v>
      </c>
      <c r="C5" s="136"/>
      <c r="D5" s="136"/>
      <c r="E5" s="136"/>
      <c r="F5" s="137"/>
      <c r="G5" s="75">
        <v>26862088.258425225</v>
      </c>
      <c r="H5" s="14" t="s">
        <v>3</v>
      </c>
      <c r="I5" s="1"/>
    </row>
    <row r="6" spans="1:9" x14ac:dyDescent="0.25">
      <c r="A6" s="1"/>
      <c r="B6" s="135" t="s">
        <v>57</v>
      </c>
      <c r="C6" s="136"/>
      <c r="D6" s="136"/>
      <c r="E6" s="136"/>
      <c r="F6" s="137"/>
      <c r="G6" s="75">
        <f>G5*'Fane 15. Nøgletal'!C20</f>
        <v>244445.00315166955</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30" t="s">
        <v>62</v>
      </c>
      <c r="C9" s="131"/>
      <c r="D9" s="131"/>
      <c r="E9" s="131"/>
      <c r="F9" s="131"/>
      <c r="G9" s="138"/>
      <c r="H9" s="132"/>
      <c r="I9" s="1"/>
    </row>
    <row r="10" spans="1:9" x14ac:dyDescent="0.25">
      <c r="A10" s="1"/>
      <c r="B10" s="135" t="s">
        <v>63</v>
      </c>
      <c r="C10" s="136"/>
      <c r="D10" s="136"/>
      <c r="E10" s="136"/>
      <c r="F10" s="137"/>
      <c r="G10" s="75">
        <f>(G5-G6)*(1+'Fane 15. Nøgletal'!C10)</f>
        <v>27083452.012240842</v>
      </c>
      <c r="H10" s="14" t="s">
        <v>3</v>
      </c>
      <c r="I10" s="1"/>
    </row>
    <row r="11" spans="1:9" x14ac:dyDescent="0.25">
      <c r="A11" s="1"/>
      <c r="B11" s="135" t="s">
        <v>122</v>
      </c>
      <c r="C11" s="136"/>
      <c r="D11" s="136"/>
      <c r="E11" s="136"/>
      <c r="F11" s="137"/>
      <c r="G11" s="75">
        <v>157321.22143523142</v>
      </c>
      <c r="H11" s="14" t="s">
        <v>3</v>
      </c>
      <c r="I11" s="1"/>
    </row>
    <row r="12" spans="1:9" x14ac:dyDescent="0.25">
      <c r="A12" s="1"/>
      <c r="B12" s="142" t="s">
        <v>64</v>
      </c>
      <c r="C12" s="143"/>
      <c r="D12" s="143"/>
      <c r="E12" s="143"/>
      <c r="F12" s="144"/>
      <c r="G12" s="76">
        <v>0</v>
      </c>
      <c r="H12" s="14" t="s">
        <v>3</v>
      </c>
      <c r="I12" s="1"/>
    </row>
    <row r="13" spans="1:9" x14ac:dyDescent="0.25">
      <c r="A13" s="1"/>
      <c r="B13" s="135" t="s">
        <v>65</v>
      </c>
      <c r="C13" s="136"/>
      <c r="D13" s="136"/>
      <c r="E13" s="136"/>
      <c r="F13" s="137"/>
      <c r="G13" s="75">
        <f>SUM(G10:G12)*'Fane 15. Nøgletal'!C21</f>
        <v>482161.68623606651</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30" t="s">
        <v>66</v>
      </c>
      <c r="C16" s="131"/>
      <c r="D16" s="131"/>
      <c r="E16" s="131"/>
      <c r="F16" s="131"/>
      <c r="G16" s="138"/>
      <c r="H16" s="132"/>
      <c r="I16" s="1"/>
    </row>
    <row r="17" spans="1:9" x14ac:dyDescent="0.25">
      <c r="A17" s="1"/>
      <c r="B17" s="135" t="s">
        <v>67</v>
      </c>
      <c r="C17" s="136"/>
      <c r="D17" s="136"/>
      <c r="E17" s="136"/>
      <c r="F17" s="137"/>
      <c r="G17" s="75">
        <f>(SUM(G10:G12)-G13)*(1+'Fane 15. Nøgletal'!C10)</f>
        <v>27226887.249520209</v>
      </c>
      <c r="H17" s="14" t="s">
        <v>3</v>
      </c>
      <c r="I17" s="1"/>
    </row>
    <row r="18" spans="1:9" x14ac:dyDescent="0.25">
      <c r="A18" s="1"/>
      <c r="B18" s="142" t="s">
        <v>68</v>
      </c>
      <c r="C18" s="143"/>
      <c r="D18" s="143"/>
      <c r="E18" s="143"/>
      <c r="F18" s="144"/>
      <c r="G18" s="75">
        <v>478493.12754480989</v>
      </c>
      <c r="H18" s="14" t="s">
        <v>3</v>
      </c>
      <c r="I18" s="1"/>
    </row>
    <row r="19" spans="1:9" x14ac:dyDescent="0.25">
      <c r="A19" s="1"/>
      <c r="B19" s="135" t="s">
        <v>69</v>
      </c>
      <c r="C19" s="136"/>
      <c r="D19" s="136"/>
      <c r="E19" s="136"/>
      <c r="F19" s="137"/>
      <c r="G19" s="75">
        <f>G17*'Fane 15. Nøgletal'!C21+G18*'Fane 15. Nøgletal'!C22</f>
        <v>486078.79452614754</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30" t="s">
        <v>70</v>
      </c>
      <c r="C22" s="131"/>
      <c r="D22" s="131"/>
      <c r="E22" s="131"/>
      <c r="F22" s="131"/>
      <c r="G22" s="138"/>
      <c r="H22" s="132"/>
      <c r="I22" s="1"/>
    </row>
    <row r="23" spans="1:9" x14ac:dyDescent="0.25">
      <c r="A23" s="1"/>
      <c r="B23" s="135" t="s">
        <v>71</v>
      </c>
      <c r="C23" s="136"/>
      <c r="D23" s="136"/>
      <c r="E23" s="136"/>
      <c r="F23" s="137"/>
      <c r="G23" s="75">
        <f>(G17+G18-G19)*(1+'Fane 15. Nøgletal'!C12)</f>
        <v>27755521.823714886</v>
      </c>
      <c r="H23" s="14" t="s">
        <v>3</v>
      </c>
      <c r="I23" s="1"/>
    </row>
    <row r="24" spans="1:9" x14ac:dyDescent="0.25">
      <c r="A24" s="1"/>
      <c r="B24" s="142" t="s">
        <v>72</v>
      </c>
      <c r="C24" s="143"/>
      <c r="D24" s="143"/>
      <c r="E24" s="143"/>
      <c r="F24" s="144"/>
      <c r="G24" s="75">
        <v>593744.23158098396</v>
      </c>
      <c r="H24" s="14" t="s">
        <v>3</v>
      </c>
      <c r="I24" s="1"/>
    </row>
    <row r="25" spans="1:9" x14ac:dyDescent="0.25">
      <c r="A25" s="1"/>
      <c r="B25" s="135" t="s">
        <v>73</v>
      </c>
      <c r="C25" s="136"/>
      <c r="D25" s="136"/>
      <c r="E25" s="136"/>
      <c r="F25" s="137"/>
      <c r="G25" s="75">
        <f>(G23+G24)*'Fane 15. Nøgletal'!C23</f>
        <v>805119.15597040276</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30" t="s">
        <v>74</v>
      </c>
      <c r="C28" s="131"/>
      <c r="D28" s="131"/>
      <c r="E28" s="131"/>
      <c r="F28" s="131"/>
      <c r="G28" s="138"/>
      <c r="H28" s="132"/>
      <c r="I28" s="1"/>
    </row>
    <row r="29" spans="1:9" x14ac:dyDescent="0.25">
      <c r="A29" s="1"/>
      <c r="B29" s="135" t="s">
        <v>75</v>
      </c>
      <c r="C29" s="136"/>
      <c r="D29" s="136"/>
      <c r="E29" s="136"/>
      <c r="F29" s="137"/>
      <c r="G29" s="75">
        <f>(G23+G24-G25)*(1+'Fane 15. Nøgletal'!C12)</f>
        <v>28086766.59324218</v>
      </c>
      <c r="H29" s="14" t="s">
        <v>3</v>
      </c>
      <c r="I29" s="1"/>
    </row>
    <row r="30" spans="1:9" x14ac:dyDescent="0.25">
      <c r="A30" s="1"/>
      <c r="B30" s="135" t="s">
        <v>139</v>
      </c>
      <c r="C30" s="136"/>
      <c r="D30" s="136"/>
      <c r="E30" s="136"/>
      <c r="F30" s="137"/>
      <c r="G30" s="75">
        <v>795475.08760860004</v>
      </c>
      <c r="H30" s="14" t="s">
        <v>3</v>
      </c>
      <c r="I30" s="1"/>
    </row>
    <row r="31" spans="1:9" x14ac:dyDescent="0.25">
      <c r="A31" s="1"/>
      <c r="B31" s="135" t="s">
        <v>76</v>
      </c>
      <c r="C31" s="136"/>
      <c r="D31" s="136"/>
      <c r="E31" s="136"/>
      <c r="F31" s="137"/>
      <c r="G31" s="75">
        <f>G29*'Fane 15. Nøgletal'!C23+G30*'Fane 15. Nøgletal'!C24</f>
        <v>819539.7361573145</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30" t="s">
        <v>165</v>
      </c>
      <c r="C34" s="131"/>
      <c r="D34" s="131"/>
      <c r="E34" s="131"/>
      <c r="F34" s="131"/>
      <c r="G34" s="138"/>
      <c r="H34" s="132"/>
      <c r="I34" s="1"/>
    </row>
    <row r="35" spans="1:9" x14ac:dyDescent="0.25">
      <c r="A35" s="1"/>
      <c r="B35" s="135" t="s">
        <v>78</v>
      </c>
      <c r="C35" s="136"/>
      <c r="D35" s="136"/>
      <c r="E35" s="136"/>
      <c r="F35" s="137"/>
      <c r="G35" s="75">
        <f>(G29+G30-G31)*(1+'Fane 15. Nøgletal'!C14)</f>
        <v>28155308.861110959</v>
      </c>
      <c r="H35" s="14" t="s">
        <v>3</v>
      </c>
      <c r="I35" s="1"/>
    </row>
    <row r="36" spans="1:9" x14ac:dyDescent="0.25">
      <c r="A36" s="1"/>
      <c r="B36" s="135" t="s">
        <v>167</v>
      </c>
      <c r="C36" s="136"/>
      <c r="D36" s="136"/>
      <c r="E36" s="136"/>
      <c r="F36" s="137"/>
      <c r="G36" s="75">
        <v>8175.6936485800015</v>
      </c>
      <c r="H36" s="14" t="s">
        <v>3</v>
      </c>
      <c r="I36" s="1"/>
    </row>
    <row r="37" spans="1:9" x14ac:dyDescent="0.25">
      <c r="A37" s="1"/>
      <c r="B37" s="135" t="s">
        <v>166</v>
      </c>
      <c r="C37" s="136"/>
      <c r="D37" s="136"/>
      <c r="E37" s="136"/>
      <c r="F37" s="137"/>
      <c r="G37" s="75">
        <f>(G35+G36)*'Fane 15. Nøgletal'!C25</f>
        <v>416819.57141044119</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30" t="s">
        <v>221</v>
      </c>
      <c r="C40" s="131"/>
      <c r="D40" s="131"/>
      <c r="E40" s="131"/>
      <c r="F40" s="131"/>
      <c r="G40" s="138"/>
      <c r="H40" s="132"/>
      <c r="I40" s="1"/>
    </row>
    <row r="41" spans="1:9" x14ac:dyDescent="0.25">
      <c r="A41" s="1"/>
      <c r="B41" s="135" t="s">
        <v>77</v>
      </c>
      <c r="C41" s="136"/>
      <c r="D41" s="136"/>
      <c r="E41" s="136"/>
      <c r="F41" s="137"/>
      <c r="G41" s="75">
        <f>(G35+G36-G37)*(1+'Fane 15. Nøgletal'!C14)</f>
        <v>27838228.977794155</v>
      </c>
      <c r="H41" s="14" t="s">
        <v>3</v>
      </c>
      <c r="I41" s="1"/>
    </row>
    <row r="42" spans="1:9" x14ac:dyDescent="0.25">
      <c r="A42" s="1"/>
      <c r="B42" s="43" t="s">
        <v>229</v>
      </c>
      <c r="C42" s="91"/>
      <c r="D42" s="91"/>
      <c r="E42" s="91"/>
      <c r="F42" s="92"/>
      <c r="G42" s="79">
        <f>('Fane 2.1. Økonomisk ramme 2023'!C11+'Fane 2.1. Økonomisk ramme 2023'!C13+'Fane 2.1. Økonomisk ramme 2023'!C15)*(1+'Fane 15. Nøgletal'!C15)</f>
        <v>278762.15101536002</v>
      </c>
      <c r="H42" s="14" t="s">
        <v>3</v>
      </c>
      <c r="I42" s="1"/>
    </row>
    <row r="43" spans="1:9" x14ac:dyDescent="0.25">
      <c r="A43" s="1"/>
      <c r="B43" s="135" t="s">
        <v>168</v>
      </c>
      <c r="C43" s="136"/>
      <c r="D43" s="136"/>
      <c r="E43" s="136"/>
      <c r="F43" s="137"/>
      <c r="G43" s="75">
        <f>(G41)*'Fane 15. Nøgletal'!C25+G42*'Fane 15. Nøgletal'!C26</f>
        <v>412005.78887135349</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30" t="s">
        <v>242</v>
      </c>
      <c r="C52" s="131"/>
      <c r="D52" s="131"/>
      <c r="E52" s="131"/>
      <c r="F52" s="131"/>
      <c r="G52" s="138"/>
      <c r="H52" s="132"/>
      <c r="I52" s="1"/>
    </row>
    <row r="53" spans="1:9" x14ac:dyDescent="0.25">
      <c r="A53" s="1"/>
      <c r="B53" s="135" t="s">
        <v>140</v>
      </c>
      <c r="C53" s="136"/>
      <c r="D53" s="136"/>
      <c r="E53" s="136"/>
      <c r="F53" s="137"/>
      <c r="G53" s="75">
        <f>(G41+G42-G43)*(1+'Fane 15. Nøgletal'!C15)</f>
        <v>28691282.818039965</v>
      </c>
      <c r="H53" s="14" t="s">
        <v>3</v>
      </c>
      <c r="I53" s="1"/>
    </row>
    <row r="54" spans="1:9" x14ac:dyDescent="0.25">
      <c r="A54" s="1"/>
      <c r="B54" s="135" t="s">
        <v>141</v>
      </c>
      <c r="C54" s="136"/>
      <c r="D54" s="136"/>
      <c r="E54" s="136"/>
      <c r="F54" s="137"/>
      <c r="G54" s="75">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30" t="s">
        <v>153</v>
      </c>
      <c r="C57" s="131"/>
      <c r="D57" s="131"/>
      <c r="E57" s="131"/>
      <c r="F57" s="131"/>
      <c r="G57" s="138"/>
      <c r="H57" s="132"/>
      <c r="I57" s="1"/>
    </row>
    <row r="58" spans="1:9" x14ac:dyDescent="0.25">
      <c r="A58" s="1"/>
      <c r="B58" s="135" t="s">
        <v>173</v>
      </c>
      <c r="C58" s="136"/>
      <c r="D58" s="136"/>
      <c r="E58" s="136"/>
      <c r="F58" s="137"/>
      <c r="G58" s="75">
        <f>(G53-G54)*(1+'Fane 15. Nøgletal'!C15)</f>
        <v>29712692.486362189</v>
      </c>
      <c r="H58" s="14" t="s">
        <v>3</v>
      </c>
      <c r="I58" s="1"/>
    </row>
    <row r="59" spans="1:9" x14ac:dyDescent="0.25">
      <c r="A59" s="1"/>
      <c r="B59" s="135" t="s">
        <v>174</v>
      </c>
      <c r="C59" s="136"/>
      <c r="D59" s="136"/>
      <c r="E59" s="136"/>
      <c r="F59" s="137"/>
      <c r="G59" s="75">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30" t="s">
        <v>196</v>
      </c>
      <c r="C62" s="131"/>
      <c r="D62" s="131"/>
      <c r="E62" s="131"/>
      <c r="F62" s="131"/>
      <c r="G62" s="138"/>
      <c r="H62" s="132"/>
      <c r="I62" s="1"/>
    </row>
    <row r="63" spans="1:9" x14ac:dyDescent="0.25">
      <c r="A63" s="1"/>
      <c r="B63" s="135" t="s">
        <v>197</v>
      </c>
      <c r="C63" s="136"/>
      <c r="D63" s="136"/>
      <c r="E63" s="136"/>
      <c r="F63" s="137"/>
      <c r="G63" s="75">
        <f>(G58-G59)*(1+'Fane 15. Nøgletal'!C15)</f>
        <v>30770464.338876687</v>
      </c>
      <c r="H63" s="14" t="s">
        <v>3</v>
      </c>
      <c r="I63" s="1"/>
    </row>
    <row r="64" spans="1:9" x14ac:dyDescent="0.25">
      <c r="A64" s="1"/>
      <c r="B64" s="135" t="s">
        <v>198</v>
      </c>
      <c r="C64" s="136"/>
      <c r="D64" s="136"/>
      <c r="E64" s="136"/>
      <c r="F64" s="137"/>
      <c r="G64" s="75">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5POBf/t9zRpd5C0h9Mt/zBLREn6jrb3/bCjOAGiuio9ndbAqouulDjfpzbA5H9zWuRt06Uq61434nOXBgWAgQ==" saltValue="JVnH2wRkeZXqL2dxTckAM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8" t="s">
        <v>88</v>
      </c>
      <c r="C3" s="118"/>
      <c r="D3" s="118"/>
      <c r="E3" s="118"/>
      <c r="F3" s="118"/>
      <c r="G3" s="118"/>
      <c r="H3" s="1"/>
    </row>
    <row r="4" spans="1:8" ht="15" customHeight="1" x14ac:dyDescent="0.25">
      <c r="A4" s="1"/>
      <c r="B4" s="118"/>
      <c r="C4" s="118"/>
      <c r="D4" s="118"/>
      <c r="E4" s="118"/>
      <c r="F4" s="118"/>
      <c r="G4" s="11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10</v>
      </c>
      <c r="C8" s="131"/>
      <c r="D8" s="131"/>
      <c r="E8" s="131"/>
      <c r="F8" s="131"/>
      <c r="G8" s="132"/>
      <c r="H8" s="1"/>
    </row>
    <row r="9" spans="1:8" x14ac:dyDescent="0.25">
      <c r="A9" s="1"/>
      <c r="B9" s="135" t="s">
        <v>154</v>
      </c>
      <c r="C9" s="136"/>
      <c r="D9" s="136"/>
      <c r="E9" s="136"/>
      <c r="F9" s="137"/>
      <c r="G9" s="35">
        <v>1.0373008025878667E-3</v>
      </c>
      <c r="H9" s="1"/>
    </row>
    <row r="10" spans="1:8" x14ac:dyDescent="0.25">
      <c r="A10" s="1"/>
      <c r="B10" s="32"/>
      <c r="C10" s="27"/>
      <c r="D10" s="27"/>
      <c r="E10" s="27"/>
      <c r="F10" s="27"/>
      <c r="G10" s="19"/>
      <c r="H10" s="1"/>
    </row>
    <row r="11" spans="1:8" ht="29.25" customHeight="1" x14ac:dyDescent="0.25">
      <c r="A11" s="1"/>
      <c r="B11" s="147" t="s">
        <v>236</v>
      </c>
      <c r="C11" s="148"/>
      <c r="D11" s="148"/>
      <c r="E11" s="148"/>
      <c r="F11" s="148"/>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t1WNl3CHvTnZd+mqAmtKFw8lOboyRmNCFZoepu9zr47+TvoZWkdfJrhIcFyaVuuVA4gumpizf7FkruyvqReC1Q==" saltValue="rsR9bIrp9jq+wHvLL9ibY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2022-12-06T10:20:02Z</dcterms:modified>
</cp:coreProperties>
</file>