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Odsherred Spildevand AS (S074)\ØR2025\"/>
    </mc:Choice>
  </mc:AlternateContent>
  <xr:revisionPtr revIDLastSave="0" documentId="13_ncr:1_{7FAB0F55-5E0E-47E7-90EF-13BECDA20369}"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Tabel_Fane_8">'Fane 8. Skattesagen'!$B$8:$D$18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<sst xmlns="http://schemas.openxmlformats.org/spreadsheetml/2006/main" count="544" uniqueCount="230">
  <si>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</si>
  <si>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</si>
  <si>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</si>
  <si>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</si>
  <si>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</si>
  <si>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</si>
  <si>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</si>
  <si>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</si>
  <si>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</si>
  <si>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</si>
  <si>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</si>
  <si>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</si>
  <si>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</si>
  <si>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</si>
  <si>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</si>
  <si>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</si>
  <si>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</si>
  <si>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</si>
  <si>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</si>
  <si>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</si>
  <si>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</si>
  <si>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</si>
  <si>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</si>
  <si>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</si>
  <si>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</si>
  <si>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</si>
  <si>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</si>
  <si>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</si>
  <si>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</si>
  <si>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</si>
  <si>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</si>
  <si>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</si>
  <si>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</si>
  <si>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</si>
  <si>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</si>
  <si>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</si>
  <si>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</si>
  <si>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</si>
  <si>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</si>
  <si>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</si>
  <si>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</si>
  <si>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</si>
  <si>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</si>
  <si>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</si>
  <si>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</si>
  <si>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</si>
  <si>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</si>
  <si>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</si>
  <si>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</si>
  <si>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</si>
  <si>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</si>
  <si>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</si>
  <si>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</si>
  <si>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</si>
  <si>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</si>
  <si>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</si>
  <si>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</si>
  <si>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</si>
  <si>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</si>
  <si>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</si>
  <si>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</si>
  <si>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</si>
  <si>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</si>
  <si>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</si>
  <si>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</si>
  <si>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</si>
  <si>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</si>
  <si>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</si>
  <si>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</si>
  <si>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</si>
  <si>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</si>
  <si>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</si>
  <si>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</si>
  <si>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</si>
  <si>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</si>
  <si>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</si>
  <si>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</si>
  <si>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</si>
  <si>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</si>
  <si>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</si>
  <si>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</si>
  <si>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</si>
  <si>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</si>
  <si>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</si>
  <si>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</si>
  <si>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</si>
  <si>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</si>
  <si>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</si>
  <si>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</si>
  <si>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</si>
  <si>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</si>
  <si>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</si>
  <si>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</si>
  <si>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</si>
  <si>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</si>
  <si>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</si>
  <si>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</si>
  <si>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</si>
  <si>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</si>
  <si>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</si>
  <si>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</si>
  <si>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</si>
  <si>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</si>
  <si>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</si>
  <si>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</si>
  <si>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</si>
  <si>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</si>
  <si>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</si>
  <si>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</si>
  <si>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</si>
  <si>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</si>
  <si>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</si>
  <si>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</si>
  <si>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</si>
  <si>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</si>
  <si>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</si>
  <si>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</si>
  <si>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</si>
  <si>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</si>
  <si>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</si>
  <si>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</si>
  <si>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</si>
  <si>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</si>
  <si>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</si>
  <si>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</si>
  <si>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</si>
  <si>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</si>
  <si>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</si>
  <si>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</si>
  <si>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</si>
  <si>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</si>
  <si>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</si>
  <si>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</si>
  <si>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</si>
  <si>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</si>
  <si>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</si>
  <si>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</si>
  <si>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</si>
  <si>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</si>
  <si>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</si>
  <si>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</si>
  <si>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</si>
  <si>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</si>
  <si>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</si>
  <si>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</si>
  <si>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</si>
  <si>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</si>
  <si>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</si>
  <si>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</si>
  <si>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</si>
  <si>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</si>
  <si>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</si>
  <si>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</si>
  <si>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</si>
  <si>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</si>
  <si>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</si>
  <si>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</si>
  <si>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</si>
  <si>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</si>
  <si>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</si>
  <si>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</si>
  <si>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</si>
  <si>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</si>
  <si>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</si>
  <si>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</si>
  <si>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</si>
  <si>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</si>
  <si>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</si>
  <si>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</si>
  <si>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</si>
  <si>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</si>
  <si>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</si>
  <si>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</si>
  <si>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</si>
  <si>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</si>
  <si>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</si>
  <si>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</si>
  <si>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</si>
  <si>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</si>
  <si>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</si>
  <si>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</si>
  <si>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</si>
  <si>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</si>
  <si>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</si>
  <si>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</si>
  <si>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</si>
  <si>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</si>
  <si>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</si>
  <si>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</si>
  <si>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</si>
  <si>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</si>
  <si>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</si>
  <si>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</si>
  <si>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</si>
  <si>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</si>
  <si>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</si>
  <si>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</si>
  <si>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</si>
  <si>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</si>
  <si>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</si>
  <si>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</si>
  <si>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</si>
  <si>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</si>
  <si>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</si>
  <si>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</si>
  <si>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</si>
  <si>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</si>
  <si>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</si>
  <si>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</si>
  <si>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</si>
  <si>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</si>
  <si>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</si>
  <si>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</si>
  <si>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</si>
  <si>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Prisudvikling til brug for nye omkostninger i ØR2025-2028</t>
  </si>
  <si>
    <t>Generelt effektiviseringskrav til brug for nye anlægsomkostninger i ØR2025-2028</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</si>
  <si>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</si>
  <si>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</si>
  <si>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</si>
  <si>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</si>
  <si>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</si>
  <si>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</si>
  <si>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</si>
  <si>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</si>
  <si>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</si>
  <si>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Spildevandsafgift</t>
  </si>
  <si>
    <t>Afgift til Forsyningssekretariatet</t>
  </si>
  <si>
    <t>Ejendomsskatter</t>
  </si>
  <si>
    <t xml:space="preserve">Note: Denne opgørelse er taget fra jeres økonomiske ramme for 2024. 
I kan derfor ikke komme med høringssvar til denne opgørelse. </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</si>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</sst>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8" fillId="8" borderId="2" xfId="0" applyFont="1" applyFill="1" applyBorder="1" applyAlignment="1" applyProtection="1">
      <alignment horizontal="left" vertical="top" wrapText="1" indent="1"/>
    </xf>
    <xf numFmtId="3" fontId="8" fillId="8" borderId="1" xfId="0" applyNumberFormat="1" applyFont="1" applyFill="1" applyBorder="1" applyAlignment="1" applyProtection="1">
      <alignment horizontal="left" vertical="top" wrapText="1" inden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7" t="s">
        <v>4</v>
      </c>
      <c r="D6" s="97"/>
      <c r="E6" s="97"/>
      <c r="F6" s="97"/>
      <c r="G6" s="3"/>
    </row>
    <row r="7" spans="1:7" ht="15" customHeight="1" x14ac:dyDescent="0.25">
      <c r="A7" s="1"/>
      <c r="B7" s="3"/>
      <c r="C7" s="97"/>
      <c r="D7" s="97"/>
      <c r="E7" s="97"/>
      <c r="F7" s="97"/>
      <c r="G7" s="3"/>
    </row>
    <row r="8" spans="1:7" ht="15.75" x14ac:dyDescent="0.25">
      <c r="A8" s="1"/>
      <c r="B8" s="4"/>
      <c r="C8" s="102" t="s">
        <v>229</v>
      </c>
      <c r="D8" s="102"/>
      <c r="E8" s="102"/>
      <c r="F8" s="102"/>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1" t="s">
        <v>5</v>
      </c>
      <c r="D11" s="101"/>
      <c r="E11" s="101"/>
      <c r="F11" s="101"/>
      <c r="G11" s="5"/>
    </row>
    <row r="12" spans="1:7" x14ac:dyDescent="0.25">
      <c r="A12" s="1"/>
      <c r="B12" s="1"/>
      <c r="C12" s="1"/>
      <c r="D12" s="1"/>
      <c r="E12" s="1"/>
      <c r="F12" s="1"/>
      <c r="G12" s="5"/>
    </row>
    <row r="13" spans="1:7" x14ac:dyDescent="0.25">
      <c r="A13" s="1"/>
      <c r="B13" s="6" t="s">
        <v>6</v>
      </c>
      <c r="C13" s="103" t="s">
        <v>127</v>
      </c>
      <c r="D13" s="104"/>
      <c r="E13" s="104"/>
      <c r="F13" s="105"/>
      <c r="G13" s="5"/>
    </row>
    <row r="14" spans="1:7" x14ac:dyDescent="0.25">
      <c r="A14" s="1"/>
      <c r="B14" s="6" t="s">
        <v>16</v>
      </c>
      <c r="C14" s="94" t="s">
        <v>186</v>
      </c>
      <c r="D14" s="95"/>
      <c r="E14" s="95"/>
      <c r="F14" s="96"/>
      <c r="G14" s="5"/>
    </row>
    <row r="15" spans="1:7" x14ac:dyDescent="0.25">
      <c r="A15" s="1"/>
      <c r="B15" s="6" t="s">
        <v>30</v>
      </c>
      <c r="C15" s="94" t="s">
        <v>149</v>
      </c>
      <c r="D15" s="95"/>
      <c r="E15" s="95"/>
      <c r="F15" s="96"/>
      <c r="G15" s="5"/>
    </row>
    <row r="16" spans="1:7" x14ac:dyDescent="0.25">
      <c r="A16" s="1"/>
      <c r="B16" s="6" t="s">
        <v>31</v>
      </c>
      <c r="C16" s="94" t="s">
        <v>151</v>
      </c>
      <c r="D16" s="95"/>
      <c r="E16" s="95"/>
      <c r="F16" s="96"/>
      <c r="G16" s="5"/>
    </row>
    <row r="17" spans="1:8" x14ac:dyDescent="0.25">
      <c r="A17" s="1"/>
      <c r="B17" s="6" t="s">
        <v>61</v>
      </c>
      <c r="C17" s="94" t="s">
        <v>152</v>
      </c>
      <c r="D17" s="95"/>
      <c r="E17" s="95"/>
      <c r="F17" s="96"/>
      <c r="G17" s="5"/>
    </row>
    <row r="18" spans="1:8" x14ac:dyDescent="0.25">
      <c r="A18" s="1"/>
      <c r="B18" s="6" t="s">
        <v>53</v>
      </c>
      <c r="C18" s="91" t="s">
        <v>45</v>
      </c>
      <c r="D18" s="92"/>
      <c r="E18" s="92"/>
      <c r="F18" s="93"/>
      <c r="G18" s="5"/>
    </row>
    <row r="19" spans="1:8" x14ac:dyDescent="0.25">
      <c r="A19" s="1"/>
      <c r="B19" s="6" t="s">
        <v>54</v>
      </c>
      <c r="C19" s="91" t="s">
        <v>46</v>
      </c>
      <c r="D19" s="92"/>
      <c r="E19" s="92"/>
      <c r="F19" s="93"/>
      <c r="G19" s="5"/>
    </row>
    <row r="20" spans="1:8" x14ac:dyDescent="0.25">
      <c r="A20" s="1"/>
      <c r="B20" s="6" t="s">
        <v>7</v>
      </c>
      <c r="C20" s="91" t="s">
        <v>10</v>
      </c>
      <c r="D20" s="92"/>
      <c r="E20" s="92"/>
      <c r="F20" s="93"/>
      <c r="G20" s="5"/>
    </row>
    <row r="21" spans="1:8" x14ac:dyDescent="0.25">
      <c r="A21" s="1"/>
      <c r="B21" s="6" t="s">
        <v>55</v>
      </c>
      <c r="C21" s="98" t="s">
        <v>12</v>
      </c>
      <c r="D21" s="99"/>
      <c r="E21" s="99"/>
      <c r="F21" s="100"/>
      <c r="G21" s="5"/>
    </row>
    <row r="22" spans="1:8" x14ac:dyDescent="0.25">
      <c r="A22" s="1"/>
      <c r="B22" s="6" t="s">
        <v>39</v>
      </c>
      <c r="C22" s="85" t="s">
        <v>153</v>
      </c>
      <c r="D22" s="86"/>
      <c r="E22" s="86"/>
      <c r="F22" s="87"/>
      <c r="G22" s="5"/>
    </row>
    <row r="23" spans="1:8" x14ac:dyDescent="0.25">
      <c r="A23" s="1"/>
      <c r="B23" s="6" t="s">
        <v>8</v>
      </c>
      <c r="C23" s="85" t="s">
        <v>112</v>
      </c>
      <c r="D23" s="86"/>
      <c r="E23" s="86"/>
      <c r="F23" s="87"/>
      <c r="G23" s="5"/>
    </row>
    <row r="24" spans="1:8" x14ac:dyDescent="0.25">
      <c r="A24" s="1"/>
      <c r="B24" s="6" t="s">
        <v>9</v>
      </c>
      <c r="C24" s="85" t="s">
        <v>154</v>
      </c>
      <c r="D24" s="86"/>
      <c r="E24" s="86"/>
      <c r="F24" s="87"/>
      <c r="G24" s="5"/>
    </row>
    <row r="25" spans="1:8" x14ac:dyDescent="0.25">
      <c r="A25" s="1"/>
      <c r="B25" s="6" t="s">
        <v>97</v>
      </c>
      <c r="C25" s="85" t="s">
        <v>91</v>
      </c>
      <c r="D25" s="86"/>
      <c r="E25" s="86"/>
      <c r="F25" s="87"/>
      <c r="G25" s="1"/>
    </row>
    <row r="26" spans="1:8" x14ac:dyDescent="0.25">
      <c r="A26" s="1"/>
      <c r="B26" s="6" t="s">
        <v>98</v>
      </c>
      <c r="C26" s="85" t="s">
        <v>40</v>
      </c>
      <c r="D26" s="86"/>
      <c r="E26" s="86"/>
      <c r="F26" s="87"/>
      <c r="G26" s="1"/>
    </row>
    <row r="27" spans="1:8" x14ac:dyDescent="0.25">
      <c r="A27" s="1"/>
      <c r="B27" s="6" t="s">
        <v>99</v>
      </c>
      <c r="C27" s="85" t="s">
        <v>41</v>
      </c>
      <c r="D27" s="86"/>
      <c r="E27" s="86"/>
      <c r="F27" s="87"/>
      <c r="G27" s="1"/>
    </row>
    <row r="28" spans="1:8" x14ac:dyDescent="0.25">
      <c r="A28" s="1"/>
      <c r="B28" s="6" t="s">
        <v>15</v>
      </c>
      <c r="C28" s="85" t="s">
        <v>42</v>
      </c>
      <c r="D28" s="86"/>
      <c r="E28" s="86"/>
      <c r="F28" s="87"/>
      <c r="G28" s="1"/>
      <c r="H28" s="2" t="s">
        <v>150</v>
      </c>
    </row>
    <row r="29" spans="1:8" x14ac:dyDescent="0.25">
      <c r="A29" s="1"/>
      <c r="B29" s="6" t="s">
        <v>33</v>
      </c>
      <c r="C29" s="85" t="s">
        <v>68</v>
      </c>
      <c r="D29" s="86"/>
      <c r="E29" s="86"/>
      <c r="F29" s="87"/>
      <c r="G29" s="1"/>
    </row>
    <row r="30" spans="1:8" x14ac:dyDescent="0.25">
      <c r="A30" s="1"/>
      <c r="B30" s="6" t="s">
        <v>34</v>
      </c>
      <c r="C30" s="85" t="s">
        <v>32</v>
      </c>
      <c r="D30" s="86"/>
      <c r="E30" s="86"/>
      <c r="F30" s="87"/>
      <c r="G30" s="1"/>
    </row>
    <row r="31" spans="1:8" x14ac:dyDescent="0.25">
      <c r="A31" s="1"/>
      <c r="B31" s="6" t="s">
        <v>100</v>
      </c>
      <c r="C31" s="88" t="s">
        <v>52</v>
      </c>
      <c r="D31" s="89"/>
      <c r="E31" s="89"/>
      <c r="F31" s="90"/>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3GhtjwTCvsr/d+zaVEp1j+cM67Zhq9i+X7jaDFbxwTTbMPpX/tAQeaL/nTEKXJ32n0c+iZVdoERyXBxUVn/emg==" saltValue="c2S9uFhAdVJB7NzzjfiUZw=="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1" t="s">
        <v>225</v>
      </c>
      <c r="C10" s="72">
        <v>117991.5</v>
      </c>
      <c r="D10" s="14" t="s">
        <v>3</v>
      </c>
      <c r="E10" s="1"/>
    </row>
    <row r="11" spans="1:5" ht="15" customHeight="1" x14ac:dyDescent="0.25">
      <c r="A11" s="1"/>
      <c r="B11" s="71" t="s">
        <v>226</v>
      </c>
      <c r="C11" s="72">
        <v>62813</v>
      </c>
      <c r="D11" s="14" t="s">
        <v>3</v>
      </c>
      <c r="E11" s="1"/>
    </row>
    <row r="12" spans="1:5" x14ac:dyDescent="0.25">
      <c r="A12" s="1"/>
      <c r="B12" s="71" t="s">
        <v>227</v>
      </c>
      <c r="C12" s="72">
        <v>459183</v>
      </c>
      <c r="D12" s="14" t="s">
        <v>3</v>
      </c>
      <c r="E12" s="1"/>
    </row>
    <row r="13" spans="1:5" x14ac:dyDescent="0.25">
      <c r="A13" s="1"/>
      <c r="B13" s="73"/>
      <c r="C13" s="74"/>
      <c r="D13" s="14" t="s">
        <v>3</v>
      </c>
      <c r="E13" s="1"/>
    </row>
    <row r="14" spans="1:5" x14ac:dyDescent="0.25">
      <c r="A14" s="1"/>
      <c r="B14" s="73"/>
      <c r="C14" s="74"/>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167</v>
      </c>
      <c r="C20" s="12">
        <f>SUM(C10:C19)</f>
        <v>639987.5</v>
      </c>
      <c r="D20" s="13" t="s">
        <v>3</v>
      </c>
      <c r="E20" s="1"/>
    </row>
    <row r="21" spans="1:5" x14ac:dyDescent="0.25">
      <c r="A21" s="1"/>
      <c r="B21" s="33" t="s">
        <v>168</v>
      </c>
      <c r="C21" s="12">
        <f>C20*(1+'Fane 15. Nøgletal'!C10)^2</f>
        <v>727663.02915387496</v>
      </c>
      <c r="D21" s="13" t="s">
        <v>3</v>
      </c>
      <c r="E21" s="1"/>
    </row>
    <row r="22" spans="1:5" x14ac:dyDescent="0.25">
      <c r="A22" s="1"/>
      <c r="B22" s="16"/>
      <c r="C22" s="15"/>
      <c r="D22" s="15"/>
      <c r="E22" s="1"/>
    </row>
    <row r="23" spans="1:5" x14ac:dyDescent="0.25">
      <c r="A23" s="1"/>
      <c r="B23" s="16"/>
      <c r="C23" s="15"/>
      <c r="D23" s="15"/>
      <c r="E23" s="1"/>
    </row>
    <row r="24" spans="1:5" x14ac:dyDescent="0.25">
      <c r="A24" s="1"/>
      <c r="B24" s="110" t="s">
        <v>60</v>
      </c>
      <c r="C24" s="111"/>
      <c r="D24" s="112"/>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0"/>
      <c r="C29" s="111"/>
      <c r="D29" s="112"/>
      <c r="E29" s="1"/>
    </row>
    <row r="30" spans="1:5" x14ac:dyDescent="0.25">
      <c r="A30" s="1"/>
      <c r="B30" s="1"/>
      <c r="C30" s="1"/>
      <c r="D30" s="1"/>
      <c r="E30" s="1"/>
    </row>
    <row r="31" spans="1:5" x14ac:dyDescent="0.25">
      <c r="A31" s="1"/>
      <c r="B31" s="1"/>
      <c r="C31" s="1"/>
      <c r="D31" s="1"/>
      <c r="E31" s="1"/>
    </row>
    <row r="32" spans="1:5" x14ac:dyDescent="0.25">
      <c r="A32" s="1"/>
      <c r="B32" s="110" t="s">
        <v>47</v>
      </c>
      <c r="C32" s="111"/>
      <c r="D32" s="112"/>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0"/>
      <c r="C37" s="111"/>
      <c r="D37" s="11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Y+721doKQpepgrj/D1L97zhZdjoI/DqCPwgcP3w3Ql+N9Pz4VchxibVdQOpPw92kfJdXzA6SKf8ym08MOKasjw==" saltValue="v8c7RumYvR/rV4GMT0EXQ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77</v>
      </c>
      <c r="C8" s="111"/>
      <c r="D8" s="112"/>
      <c r="E8" s="1"/>
    </row>
    <row r="9" spans="1:5" x14ac:dyDescent="0.25">
      <c r="A9" s="1"/>
      <c r="B9" s="65" t="s">
        <v>204</v>
      </c>
      <c r="C9" s="9">
        <v>4297945.8663439825</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64160980.241611533</v>
      </c>
      <c r="D20" s="14" t="s">
        <v>3</v>
      </c>
      <c r="E20" s="1"/>
    </row>
    <row r="21" spans="1:5" x14ac:dyDescent="0.25">
      <c r="A21" s="1"/>
      <c r="B21" s="65" t="s">
        <v>207</v>
      </c>
      <c r="C21" s="9">
        <v>58300805</v>
      </c>
      <c r="D21" s="14" t="s">
        <v>3</v>
      </c>
      <c r="E21" s="1"/>
    </row>
    <row r="22" spans="1:5" x14ac:dyDescent="0.25">
      <c r="A22" s="1"/>
      <c r="B22" s="65" t="s">
        <v>29</v>
      </c>
      <c r="C22" s="9">
        <v>0</v>
      </c>
      <c r="D22" s="14" t="s">
        <v>3</v>
      </c>
      <c r="E22" s="1"/>
    </row>
    <row r="23" spans="1:5" x14ac:dyDescent="0.25">
      <c r="A23" s="1"/>
      <c r="B23" s="83" t="s">
        <v>208</v>
      </c>
      <c r="C23" s="57">
        <f>C20-C21-C22</f>
        <v>5860175.2416115329</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3" t="s">
        <v>210</v>
      </c>
      <c r="C27" s="57">
        <f>IF(AND(C15&lt;0,C23&gt;0,ABS(SUM(C14:C15))&lt;C23),ABS(C14),IF(AND(C15&lt;0,C23&gt;0,ABS(SUM(C14:C15))&gt;C23),SUM(C14,C23),C15))</f>
        <v>0</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7f42Ocvwmpk6uef54T6Q1MvvQgdT6g+BmjcvMphUL8S0+ekDrCOpWWmBQRkAhZZ5ukkHC9uFeflpe9plxS0B4w==" saltValue="xy9Zd/BeoZyhbADdZgr5X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kzAefv6n0cm1U83S+s560/BRkq1Be0Pzh+PGFVZ3+8Llt6sLsPbTsYQuyaP0fF/kNa7muA27j+nPmK15mRayQ==" saltValue="s2y+QDClv+z6VbT6fzHxX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0" t="s">
        <v>217</v>
      </c>
      <c r="C9" s="7">
        <v>0</v>
      </c>
      <c r="D9" s="8" t="s">
        <v>3</v>
      </c>
      <c r="E9" s="1"/>
    </row>
    <row r="10" spans="1:5" ht="14.25" customHeight="1" x14ac:dyDescent="0.25">
      <c r="A10" s="1"/>
      <c r="B10" s="65" t="s">
        <v>172</v>
      </c>
      <c r="C10" s="7">
        <v>0</v>
      </c>
      <c r="D10" s="8" t="s">
        <v>3</v>
      </c>
      <c r="E10" s="1"/>
    </row>
    <row r="11" spans="1:5" ht="14.25" customHeight="1" x14ac:dyDescent="0.25">
      <c r="A11" s="1"/>
      <c r="B11" s="83" t="s">
        <v>48</v>
      </c>
      <c r="C11" s="10">
        <f>C10-C9</f>
        <v>0</v>
      </c>
      <c r="D11" s="11" t="s">
        <v>3</v>
      </c>
      <c r="E11" s="1"/>
    </row>
    <row r="12" spans="1:5" ht="14.25" customHeight="1" x14ac:dyDescent="0.25">
      <c r="A12" s="1"/>
      <c r="B12" s="110" t="s">
        <v>219</v>
      </c>
      <c r="C12" s="111"/>
      <c r="D12" s="112"/>
      <c r="E12" s="1"/>
    </row>
    <row r="13" spans="1:5" ht="26.25" x14ac:dyDescent="0.25">
      <c r="A13" s="1"/>
      <c r="B13" s="80" t="s">
        <v>218</v>
      </c>
      <c r="C13" s="7">
        <v>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xkLdKy2U4D7DSBs/giMVpVf/bnps+coNzayOXmxM0H36/YmUiyt/xdgCP9hxaQUSKFHqEROlspdiqYc58awiA==" saltValue="DyyZBEspnLMuqBTmZlVov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7" t="s">
        <v>221</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RU3CKH+V7gA4AHknY/itarx+0EHNFWwcrPzWbjL/EOvDi1+Wz2iIfzv+0pqsB5hr4rtivnBY3ZNzlKFL98eH5A==" saltValue="Nv6jbbEkKuYVC7syHX6a0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REuoRrDu4jHrz6Q9V+ro0PPwfOUFFgfcmA/iR0k1lVJppavC6QCxrIi45I1oJFKtiy6En9FpV23ALOOiefo3w==" saltValue="o0AegvlCFXOLjb5QbjZtm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1" t="s">
        <v>17</v>
      </c>
      <c r="C9" s="83" t="s">
        <v>11</v>
      </c>
      <c r="D9" s="82"/>
      <c r="E9" s="83"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9"/>
      <c r="C16" s="129"/>
      <c r="D16" s="129"/>
      <c r="E16" s="129"/>
      <c r="F16" s="12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9"/>
      <c r="C29" s="129"/>
      <c r="D29" s="129"/>
      <c r="E29" s="129"/>
      <c r="F29" s="12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iYKSFiPM4R7m31ItftBwf6MMHHniWuoXyHWiL6DIx18UmF4Zs8lFz0A8JtPekqfo+QPPcUMrlPihVpGpzH3rg==" saltValue="p6Vk+t4KiphYxsueOtMpI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74</v>
      </c>
      <c r="C12" s="12">
        <f>SUM(C9:C11)*(1+'Fane 15. Nøgletal'!C9)^2</f>
        <v>0</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85</v>
      </c>
      <c r="C18" s="12">
        <f>SUM(C15:C17)*(1+'Fane 15. Nøgletal'!C10)^3</f>
        <v>0</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wMdb2AVdXpF20sKaHDZhyEZwJ8KXtbDzU5yMznJS94wwD0NsOaqS21xNJOshYC/3jOQT0n2868mwxqmEZmOsNw==" saltValue="NaQSbwcER15pabuEvbhOr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Inbb19dEZxrCvj4eu8g48se/2nsQ71y/XDfg88kKEAkRLFODFfBfz5x2mCerI9lJnIQvsxQREe9fT/V5ifgwuA==" saltValue="+M1inOx3l/wRQwOHPVlYe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4OPn566mxeZCKRcqNWPwjnNa/KwX29NaYJvU9mz/KoWb5bjnuPt1tMIfSVaPhWUdVEUiPPSuomug75fwI2pLw==" saltValue="l1/aknQNEkMLzdkTyNnx7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69378537.890947655</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5605785.8615885703</v>
      </c>
      <c r="D16" s="8" t="s">
        <v>3</v>
      </c>
      <c r="E16" s="1"/>
    </row>
    <row r="17" spans="1:5" ht="17.25" customHeight="1" x14ac:dyDescent="0.25">
      <c r="A17" s="1"/>
      <c r="B17" s="64" t="s">
        <v>10</v>
      </c>
      <c r="C17" s="38">
        <f>-SUM(C9,C10:C16)*'Fane 5. Individuelt eff. krav'!C9</f>
        <v>-1141724.3303825487</v>
      </c>
      <c r="D17" s="8" t="s">
        <v>3</v>
      </c>
      <c r="E17" s="1"/>
    </row>
    <row r="18" spans="1:5" ht="17.25" customHeight="1" x14ac:dyDescent="0.25">
      <c r="A18" s="1"/>
      <c r="B18" s="64" t="s">
        <v>22</v>
      </c>
      <c r="C18" s="38">
        <f>-'Fane 4.1. Gen. krav - drift'!C17</f>
        <v>-542789.81671827077</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73299809.605435401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727663.02915387496</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74027472.63458927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o44LLSiHtnc9lqTiPUZv3l/majA2xftTB+CSfAONSFDiO/Eu2tZCWh+aR44wTaL+ekSb7hXLmchlEHwvbMq6JQ==" saltValue="vYPD/+BhOwOPKC4oOmPqD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214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215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fYMCrrOGhpqQsG5Pd9lWaDMIh3A1jkq9jZHtmFMRS4C/pK9/T0MQgx1Qezy8xyx7BvFDgHY+UBZ221RfCgKwWw==" saltValue="h/vZByEB3PoXfM4nEDUJZ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73299809.605435401</v>
      </c>
      <c r="D9" s="8" t="s">
        <v>3</v>
      </c>
      <c r="E9" s="1"/>
    </row>
    <row r="10" spans="1:5" ht="15" customHeight="1" x14ac:dyDescent="0.25">
      <c r="A10" s="1"/>
      <c r="B10" s="26" t="s">
        <v>19</v>
      </c>
      <c r="C10" s="7">
        <f>C9*'Fane 15. Nøgletal'!C10</f>
        <v>4859777.376840367</v>
      </c>
      <c r="D10" s="8" t="s">
        <v>3</v>
      </c>
      <c r="E10" s="1"/>
    </row>
    <row r="11" spans="1:5" ht="15" customHeight="1" x14ac:dyDescent="0.25">
      <c r="A11" s="1"/>
      <c r="B11" s="26" t="s">
        <v>10</v>
      </c>
      <c r="C11" s="9">
        <f>-SUM(C9:C10)*'Fane 5. Individuelt eff. krav'!C9</f>
        <v>-1190071.439529347</v>
      </c>
      <c r="D11" s="8" t="s">
        <v>3</v>
      </c>
      <c r="E11" s="1"/>
    </row>
    <row r="12" spans="1:5" ht="15" customHeight="1" x14ac:dyDescent="0.25">
      <c r="A12" s="1"/>
      <c r="B12" s="26" t="s">
        <v>22</v>
      </c>
      <c r="C12" s="9">
        <f>-'Fane 4.1. Gen. krav - drift'!C22</f>
        <v>-567201.24593535822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76402314.296811059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775907.08798677684</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77178221.384797841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1RHpT0A6UdHcimhFO2tTrDwRBqDrSTdO0npnTtHTl1QGKGPvTqPUMtPE0URtHl+lTkGP/fOmQ21nQc/EwwZlg==" saltValue="GwVHaGh3SGx96gBMqzXNg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76402314.296811059</v>
      </c>
      <c r="D9" s="8" t="s">
        <v>3</v>
      </c>
      <c r="E9" s="1"/>
    </row>
    <row r="10" spans="1:5" ht="15" customHeight="1" x14ac:dyDescent="0.25">
      <c r="A10" s="1"/>
      <c r="B10" s="26" t="s">
        <v>19</v>
      </c>
      <c r="C10" s="7">
        <f>SUM(C9:C9)*'Fane 15. Nøgletal'!C10</f>
        <v>5065473.4378785733</v>
      </c>
      <c r="D10" s="8" t="s">
        <v>3</v>
      </c>
      <c r="E10" s="1"/>
    </row>
    <row r="11" spans="1:5" ht="15" customHeight="1" x14ac:dyDescent="0.25">
      <c r="A11" s="1"/>
      <c r="B11" s="26" t="s">
        <v>10</v>
      </c>
      <c r="C11" s="9">
        <f>-SUM(C9:C10)*'Fane 5. Individuelt eff. krav'!C9</f>
        <v>-1240442.6784737138</v>
      </c>
      <c r="D11" s="8" t="s">
        <v>3</v>
      </c>
      <c r="E11" s="1"/>
    </row>
    <row r="12" spans="1:5" ht="15" customHeight="1" x14ac:dyDescent="0.25">
      <c r="A12" s="1"/>
      <c r="B12" s="26" t="s">
        <v>22</v>
      </c>
      <c r="C12" s="9">
        <f>-'Fane 4.1. Gen. krav - drift'!C27</f>
        <v>-592710.55477005511</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79634634.501445875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827349.72792030021</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80461984.229366168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26SM9RcMNqz9bKqxeyFYYGrIWSk9sKBebMPwulq/m3dM9m6y1ujE+cNXOxtLT6E9J5tKLhKnl2dD2HocXp+RA==" saltValue="SbqbjoOig63hf5X4dh9yR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79634634.501445875</v>
      </c>
      <c r="D9" s="8" t="s">
        <v>3</v>
      </c>
      <c r="E9" s="1"/>
    </row>
    <row r="10" spans="1:5" ht="15" customHeight="1" x14ac:dyDescent="0.25">
      <c r="A10" s="1"/>
      <c r="B10" s="26" t="s">
        <v>19</v>
      </c>
      <c r="C10" s="7">
        <f>SUM(C9:C9)*'Fane 15. Nøgletal'!C10</f>
        <v>5279776.2674458614</v>
      </c>
      <c r="D10" s="8" t="s">
        <v>3</v>
      </c>
      <c r="E10" s="1"/>
    </row>
    <row r="11" spans="1:5" ht="15" customHeight="1" x14ac:dyDescent="0.25">
      <c r="A11" s="1"/>
      <c r="B11" s="26" t="s">
        <v>10</v>
      </c>
      <c r="C11" s="9">
        <f>-SUM(C9:C10)*'Fane 5. Individuelt eff. krav'!C9</f>
        <v>-1292921.5591100464</v>
      </c>
      <c r="D11" s="8" t="s">
        <v>3</v>
      </c>
      <c r="E11" s="1"/>
    </row>
    <row r="12" spans="1:5" ht="15" customHeight="1" x14ac:dyDescent="0.25">
      <c r="A12" s="1"/>
      <c r="B12" s="26" t="s">
        <v>22</v>
      </c>
      <c r="C12" s="9">
        <f>-'Fane 4.1. Gen. krav - drift'!C32</f>
        <v>-619367.11926028354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83002122.09052141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882203.01488141611</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83884325.105402827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0KXEGIdUFls/vPqdfAglcOQaJ1RbZI0dONUl0/40DHSZZ4SzvdKR8AWg8VbrkpZU5XPuUh95G22r+qXLxflQ==" saltValue="nY8lItLEaNqkZzMpIw3zL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63021920.165827051</v>
      </c>
      <c r="D9" s="8" t="s">
        <v>3</v>
      </c>
      <c r="E9" s="1"/>
    </row>
    <row r="10" spans="1:5" ht="15" customHeight="1" x14ac:dyDescent="0.25">
      <c r="A10" s="1"/>
      <c r="B10" s="64" t="s">
        <v>35</v>
      </c>
      <c r="C10" s="7">
        <v>1675506.9576000001</v>
      </c>
      <c r="D10" s="8" t="s">
        <v>3</v>
      </c>
      <c r="E10" s="1"/>
    </row>
    <row r="11" spans="1:5" ht="15" customHeight="1" x14ac:dyDescent="0.25">
      <c r="A11" s="1"/>
      <c r="B11" s="64" t="s">
        <v>36</v>
      </c>
      <c r="C11" s="9">
        <v>968398.68059200002</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5305798.7249647388</v>
      </c>
      <c r="D16" s="8" t="s">
        <v>3</v>
      </c>
      <c r="E16" s="1"/>
    </row>
    <row r="17" spans="1:5" ht="15" customHeight="1" x14ac:dyDescent="0.25">
      <c r="A17" s="1"/>
      <c r="B17" s="64" t="s">
        <v>10</v>
      </c>
      <c r="C17" s="38">
        <v>-1080626.2754190003</v>
      </c>
      <c r="D17" s="8" t="s">
        <v>3</v>
      </c>
      <c r="E17" s="1"/>
    </row>
    <row r="18" spans="1:5" ht="15" customHeight="1" x14ac:dyDescent="0.25">
      <c r="A18" s="1"/>
      <c r="B18" s="64" t="s">
        <v>22</v>
      </c>
      <c r="C18" s="38">
        <v>-512460.36261713796</v>
      </c>
      <c r="D18" s="8" t="s">
        <v>3</v>
      </c>
      <c r="E18" s="1"/>
    </row>
    <row r="19" spans="1:5" ht="15" customHeight="1" x14ac:dyDescent="0.25">
      <c r="A19" s="1"/>
      <c r="B19" s="64" t="s">
        <v>23</v>
      </c>
      <c r="C19" s="38">
        <v>0</v>
      </c>
      <c r="D19" s="8" t="s">
        <v>3</v>
      </c>
      <c r="E19" s="43"/>
    </row>
    <row r="20" spans="1:5" ht="15" customHeight="1" x14ac:dyDescent="0.25">
      <c r="A20" s="1"/>
      <c r="B20" s="83" t="s">
        <v>21</v>
      </c>
      <c r="C20" s="10">
        <v>69378537.890947655</v>
      </c>
      <c r="D20" s="11" t="s">
        <v>3</v>
      </c>
      <c r="E20" s="1"/>
    </row>
    <row r="21" spans="1:5" ht="15" customHeight="1" x14ac:dyDescent="0.25">
      <c r="A21" s="1"/>
      <c r="B21" s="33" t="s">
        <v>12</v>
      </c>
      <c r="C21" s="28"/>
      <c r="D21" s="19"/>
      <c r="E21" s="1"/>
    </row>
    <row r="22" spans="1:5" ht="15" customHeight="1" x14ac:dyDescent="0.25">
      <c r="A22" s="1"/>
      <c r="B22" s="31" t="s">
        <v>12</v>
      </c>
      <c r="C22" s="10">
        <v>1031387.1860068671</v>
      </c>
      <c r="D22" s="11" t="s">
        <v>3</v>
      </c>
      <c r="E22" s="1"/>
    </row>
    <row r="23" spans="1:5" ht="15" customHeight="1" x14ac:dyDescent="0.25">
      <c r="A23" s="1"/>
      <c r="B23" s="33" t="s">
        <v>42</v>
      </c>
      <c r="C23" s="28"/>
      <c r="D23" s="19"/>
      <c r="E23" s="1"/>
    </row>
    <row r="24" spans="1:5" ht="15" customHeight="1" x14ac:dyDescent="0.25">
      <c r="A24" s="1"/>
      <c r="B24" s="83"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70409925.076954529</v>
      </c>
      <c r="D37" s="30" t="s">
        <v>3</v>
      </c>
      <c r="E37" s="1"/>
    </row>
    <row r="38" spans="1:5" ht="30" customHeight="1" x14ac:dyDescent="0.25">
      <c r="A38" s="1"/>
      <c r="B38" s="109" t="s">
        <v>228</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sBoLuPRbdjkAZShxkMA1KMcxdp0IdlHebcrgJ+0sDZikJbRcvFt+ln8OKlyXT1T63/Js+ofmtsc7PgC78e39Yg==" saltValue="t73yuLl1vMqeNkNsp/en5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123</v>
      </c>
      <c r="C8" s="111"/>
      <c r="D8" s="112"/>
      <c r="E8" s="1"/>
    </row>
    <row r="9" spans="1:5" x14ac:dyDescent="0.25">
      <c r="A9" s="1"/>
      <c r="B9" s="65" t="s">
        <v>88</v>
      </c>
      <c r="C9" s="23">
        <v>23812130.21108282</v>
      </c>
      <c r="D9" s="14" t="s">
        <v>3</v>
      </c>
      <c r="E9" s="1"/>
    </row>
    <row r="10" spans="1:5" x14ac:dyDescent="0.25">
      <c r="A10" s="1"/>
      <c r="B10" s="65" t="s">
        <v>125</v>
      </c>
      <c r="C10" s="23">
        <f>('Fane 3. Omkostninger i ØR2024'!C10+'Fane 3. Omkostninger i ØR2024'!C12+'Fane 3. Omkostninger i ØR2024'!C14)*(1+'Fane 15. Nøgletal'!C9)</f>
        <v>1810887.9197740802</v>
      </c>
      <c r="D10" s="14" t="s">
        <v>3</v>
      </c>
      <c r="E10" s="1"/>
    </row>
    <row r="11" spans="1:5" x14ac:dyDescent="0.25">
      <c r="A11" s="1"/>
      <c r="B11" s="65" t="s">
        <v>131</v>
      </c>
      <c r="C11" s="23">
        <f>C9*'Fane 15. Nøgletal'!C21+C10*'Fane 15. Nøgletal'!C21</f>
        <v>512460.36261713802</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27139490.835913535</v>
      </c>
      <c r="D15" s="14" t="s">
        <v>3</v>
      </c>
      <c r="E15" s="1"/>
    </row>
    <row r="16" spans="1:5" x14ac:dyDescent="0.25">
      <c r="A16" s="1"/>
      <c r="B16" s="65" t="s">
        <v>184</v>
      </c>
      <c r="C16" s="84">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542789.81671827077</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28360062.296767913</v>
      </c>
      <c r="D21" s="14" t="s">
        <v>3</v>
      </c>
      <c r="E21" s="1"/>
    </row>
    <row r="22" spans="1:5" x14ac:dyDescent="0.25">
      <c r="A22" s="1"/>
      <c r="B22" s="65" t="s">
        <v>196</v>
      </c>
      <c r="C22" s="23">
        <f>C21*'Fane 15. Nøgletal'!C21</f>
        <v>567201.24593535822</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29635527.738502752</v>
      </c>
      <c r="D26" s="14" t="s">
        <v>3</v>
      </c>
      <c r="E26" s="1"/>
    </row>
    <row r="27" spans="1:5" x14ac:dyDescent="0.25">
      <c r="A27" s="1"/>
      <c r="B27" s="65" t="s">
        <v>194</v>
      </c>
      <c r="C27" s="23">
        <f>C26*'Fane 15. Nøgletal'!C21</f>
        <v>592710.55477005511</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30968355.963014174</v>
      </c>
      <c r="D31" s="14" t="s">
        <v>3</v>
      </c>
      <c r="E31" s="1"/>
    </row>
    <row r="32" spans="1:5" x14ac:dyDescent="0.25">
      <c r="A32" s="1"/>
      <c r="B32" s="65" t="s">
        <v>195</v>
      </c>
      <c r="C32" s="23">
        <f>C31*'Fane 15. Nøgletal'!C21</f>
        <v>619367.11926028354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elthKOF/auPYr05lfkzXfx7i0jYXa2DgdEblQlWuWLA6MvDRkwi4vg53xLj/0TmtP5RG4VrN+U0dd7+CKOI0A==" saltValue="vkoVUgnTquhEInI8NDmTM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49452432.481678389</v>
      </c>
      <c r="D9" s="14" t="s">
        <v>3</v>
      </c>
      <c r="E9" s="1"/>
    </row>
    <row r="10" spans="1:5" x14ac:dyDescent="0.25">
      <c r="A10" s="1"/>
      <c r="B10" s="65" t="s">
        <v>126</v>
      </c>
      <c r="C10" s="23">
        <f>('Fane 3. Omkostninger i ØR2024'!C11+'Fane 3. Omkostninger i ØR2024'!C13+'Fane 3. Omkostninger i ØR2024'!C15)*(1+'Fane 15. Nøgletal'!C9)</f>
        <v>1046645.2939838336</v>
      </c>
      <c r="D10" s="14" t="s">
        <v>3</v>
      </c>
      <c r="E10" s="1"/>
    </row>
    <row r="11" spans="1:5" x14ac:dyDescent="0.25">
      <c r="A11" s="1"/>
      <c r="B11" s="65" t="s">
        <v>135</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54579403.259935729</v>
      </c>
      <c r="D15" s="14" t="s">
        <v>3</v>
      </c>
      <c r="E15" s="1"/>
    </row>
    <row r="16" spans="1:5" x14ac:dyDescent="0.25">
      <c r="A16" s="1"/>
      <c r="B16" s="65" t="s">
        <v>185</v>
      </c>
      <c r="C16" s="84">
        <f>('Fane 2.1. Økonomisk ramme 2025'!C11+'Fane 2.1. Økonomisk ramme 2025'!C13+'Fane 2.1. Økonomisk ramme 2025'!C15)*(1+'Fane 15. Nøgletal'!C10)</f>
        <v>0</v>
      </c>
      <c r="D16" s="14" t="s">
        <v>3</v>
      </c>
      <c r="E16" s="1"/>
    </row>
    <row r="17" spans="1:5" x14ac:dyDescent="0.25">
      <c r="A17" s="1"/>
      <c r="B17" s="65" t="s">
        <v>137</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58198017.696069472</v>
      </c>
      <c r="D21" s="14" t="s">
        <v>3</v>
      </c>
      <c r="E21" s="1"/>
    </row>
    <row r="22" spans="1:5" x14ac:dyDescent="0.25">
      <c r="A22" s="1"/>
      <c r="B22" s="65" t="s">
        <v>197</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62056546.269318879</v>
      </c>
      <c r="D26" s="14" t="s">
        <v>3</v>
      </c>
      <c r="E26" s="1"/>
    </row>
    <row r="27" spans="1:5" x14ac:dyDescent="0.25">
      <c r="A27" s="1"/>
      <c r="B27" s="65" t="s">
        <v>198</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66170895.286974721</v>
      </c>
      <c r="D31" s="14" t="s">
        <v>3</v>
      </c>
      <c r="E31" s="1"/>
    </row>
    <row r="32" spans="1:5" x14ac:dyDescent="0.25">
      <c r="A32" s="1"/>
      <c r="B32" s="65" t="s">
        <v>199</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Kp4ok5trbhn2Qvlj8m96mWSyg2YBMYtWh5nkb6NytyoqovrnPVaewoA9sWoURsKhc1WymOHTxBHEgsmV0m23g==" saltValue="StClYlYlO0tZvnvUDYeNy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1.5226173595303403E-2</v>
      </c>
      <c r="D9" s="1"/>
    </row>
    <row r="10" spans="1:4" x14ac:dyDescent="0.25">
      <c r="A10" s="1"/>
      <c r="B10" s="33"/>
      <c r="C10" s="19"/>
      <c r="D10" s="1"/>
    </row>
    <row r="11" spans="1:4" x14ac:dyDescent="0.25">
      <c r="A11" s="1"/>
      <c r="B11" s="114" t="s">
        <v>220</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o26ZAxQXz7xY/mVXPCXflAbTKhnO6W/DdJsdfIEED2J9jmPLSr+e5DXuOwrcciKGV7zyf29gjIFuK5y/5gYT/g==" saltValue="MJ79t99q98tojyX4ZQJn3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20</vt:i4>
      </vt:variant>
    </vt:vector>
  </HeadingPairs>
  <TitlesOfParts>
    <vt:vector size="40"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Tabel_Fane_8</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2024-08-14T10:57:18Z</dcterms:modified>
</cp:coreProperties>
</file>