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Hjørring Vandselskab AS (V085)\ØR2025\"/>
    </mc:Choice>
  </mc:AlternateContent>
  <xr:revisionPtr revIDLastSave="0" documentId="13_ncr:1_{C4EF0F0D-069F-40D4-94C1-AC6592A2077E}"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<sst xmlns="http://schemas.openxmlformats.org/spreadsheetml/2006/main" count="451" uniqueCount="207">
  <si>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</si>
  <si>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</si>
  <si>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</si>
  <si>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</si>
  <si>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</si>
  <si>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</si>
  <si>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</si>
  <si>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</si>
  <si>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</si>
  <si>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</si>
  <si>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</si>
  <si>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</si>
  <si>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</si>
  <si>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</si>
  <si>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</si>
  <si>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</si>
  <si>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</si>
  <si>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</si>
  <si>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</si>
  <si>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</si>
  <si>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</si>
  <si>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</si>
  <si>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</si>
  <si>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</si>
  <si>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</si>
  <si>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</si>
  <si>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</si>
  <si>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</si>
  <si>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</si>
  <si>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</si>
  <si>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</si>
  <si>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</si>
  <si>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</si>
  <si>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</si>
  <si>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</si>
  <si>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</si>
  <si>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</si>
  <si>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</si>
  <si>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</si>
  <si>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</si>
  <si>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</si>
  <si>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</si>
  <si>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</si>
  <si>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</si>
  <si>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</si>
  <si>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</si>
  <si>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</si>
  <si>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</si>
  <si>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</si>
  <si>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</si>
  <si>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</si>
  <si>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</si>
  <si>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</si>
  <si>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</si>
  <si>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</si>
  <si>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</si>
  <si>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</si>
  <si>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</si>
  <si>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</si>
  <si>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</si>
  <si>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</si>
  <si>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</si>
  <si>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</si>
  <si>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</si>
  <si>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</si>
  <si>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</si>
  <si>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</si>
  <si>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</si>
  <si>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</si>
  <si>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</si>
  <si>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</si>
  <si>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</si>
  <si>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</si>
  <si>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</si>
  <si>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</si>
  <si>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</si>
  <si>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</si>
  <si>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</si>
  <si>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</si>
  <si>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</si>
  <si>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</si>
  <si>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</si>
  <si>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</si>
  <si>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</si>
  <si>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</si>
  <si>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</si>
  <si>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</si>
  <si>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</si>
  <si>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</si>
  <si>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</si>
  <si>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</si>
  <si>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</si>
  <si>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</si>
  <si>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</si>
  <si>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</si>
  <si>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</si>
  <si>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</si>
  <si>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</si>
  <si>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</si>
  <si>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</si>
  <si>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</si>
  <si>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</si>
  <si>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</si>
  <si>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</si>
  <si>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</si>
  <si>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</si>
  <si>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</si>
  <si>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</si>
  <si>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</si>
  <si>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</si>
  <si>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</si>
  <si>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</si>
  <si>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</si>
  <si>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</si>
  <si>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</si>
  <si>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</si>
  <si>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</si>
  <si>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</si>
  <si>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</si>
  <si>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</si>
  <si>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</si>
  <si>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</si>
  <si>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</si>
  <si>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</si>
  <si>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</si>
  <si>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</si>
  <si>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</si>
  <si>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</si>
  <si>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</si>
  <si>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</si>
  <si>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</si>
  <si>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</si>
  <si>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</si>
  <si>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</si>
  <si>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</si>
  <si>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</si>
  <si>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</si>
  <si>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</si>
  <si>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</si>
  <si>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</si>
  <si>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</si>
  <si>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</si>
  <si>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</si>
  <si>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</si>
  <si>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</si>
  <si>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</si>
  <si>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</si>
  <si>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</si>
  <si>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</si>
  <si>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</si>
  <si>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</si>
  <si>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</si>
  <si>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</si>
  <si>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</si>
  <si>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</si>
  <si>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</si>
  <si>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</si>
  <si>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</si>
  <si>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</si>
  <si>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</si>
  <si>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</si>
  <si>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</si>
  <si>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</si>
  <si>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</si>
  <si>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</si>
  <si>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</si>
  <si>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</si>
  <si>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</si>
  <si>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</si>
  <si>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</si>
  <si>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</si>
  <si>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</si>
  <si>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</si>
  <si>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</si>
  <si>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</si>
  <si>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</si>
  <si>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</si>
  <si>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</si>
  <si>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</si>
  <si>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</si>
  <si>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</si>
  <si>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</si>
  <si>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</si>
  <si>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</si>
  <si>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</si>
  <si>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</si>
  <si>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</si>
  <si>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</si>
  <si>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</si>
  <si>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</si>
  <si>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</si>
  <si>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</si>
  <si>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</si>
  <si>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</si>
  <si>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</si>
  <si>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</si>
  <si>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</si>
  <si>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2.2 Beredskab</t>
  </si>
  <si>
    <t>2.4 Analyseomkostninger</t>
  </si>
  <si>
    <t>2.5 Fjernaflæste målere</t>
  </si>
  <si>
    <t>2.1 Udvidelse af forsyningsområde i 2023</t>
  </si>
  <si>
    <t>2.3 Indvinding</t>
  </si>
  <si>
    <t>Afgift for ledningsført vand</t>
  </si>
  <si>
    <t>Afgift til Forsyningssekretariatet</t>
  </si>
  <si>
    <t>Ejendomsskatter</t>
  </si>
  <si>
    <t>Frivillige aftaler om dyrkningspraksis eller andre restriktioner i arealanvendelse. 47.291.826 kr./40 = 1.182.296 kr. i ØR25 til ØR64</t>
  </si>
  <si>
    <t>Renteomkostninger - køb af jord til grundv.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</si>
</sst>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3" fontId="8" fillId="8" borderId="1" xfId="0" applyNumberFormat="1" applyFont="1" applyFill="1" applyBorder="1" applyAlignment="1" applyProtection="1">
      <alignment horizontal="right"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196</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yzjAfJXl6JvHU0AU92YmfYw7QBAwbSyYgKtpasPtUYkOE03JZhvIAg3FzVSXbpVR1uNKtQz5bFqOCfgqbid0/w==" saltValue="PZz+v7w37Toq/s2mhAijl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4" t="s">
        <v>202</v>
      </c>
      <c r="C10" s="65">
        <v>19288139</v>
      </c>
      <c r="D10" s="14" t="s">
        <v>3</v>
      </c>
      <c r="E10" s="1"/>
    </row>
    <row r="11" spans="1:5" x14ac:dyDescent="0.25">
      <c r="A11" s="1"/>
      <c r="B11" s="64" t="s">
        <v>203</v>
      </c>
      <c r="C11" s="65">
        <v>90158</v>
      </c>
      <c r="D11" s="14" t="s">
        <v>3</v>
      </c>
      <c r="E11" s="1"/>
    </row>
    <row r="12" spans="1:5" x14ac:dyDescent="0.25">
      <c r="A12" s="1"/>
      <c r="B12" s="64" t="s">
        <v>204</v>
      </c>
      <c r="C12" s="65">
        <v>127494</v>
      </c>
      <c r="D12" s="14" t="s">
        <v>3</v>
      </c>
      <c r="E12" s="1"/>
    </row>
    <row r="13" spans="1:5" ht="25.5" x14ac:dyDescent="0.25">
      <c r="A13" s="1"/>
      <c r="B13" s="64" t="s">
        <v>205</v>
      </c>
      <c r="C13" s="66">
        <v>1182296</v>
      </c>
      <c r="D13" s="14" t="s">
        <v>3</v>
      </c>
      <c r="E13" s="1"/>
    </row>
    <row r="14" spans="1:5" x14ac:dyDescent="0.25">
      <c r="A14" s="1"/>
      <c r="B14" s="64"/>
      <c r="C14" s="65"/>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20688087</v>
      </c>
      <c r="D19" s="13" t="s">
        <v>3</v>
      </c>
      <c r="E19" s="1"/>
    </row>
    <row r="20" spans="1:5" x14ac:dyDescent="0.25">
      <c r="A20" s="1"/>
      <c r="B20" s="52" t="s">
        <v>144</v>
      </c>
      <c r="C20" s="12">
        <f>C19*(1+'Fane 13. Nøgletal'!C11)^2</f>
        <v>23522265.753345031</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uI257pYIhyOVMDbhWkLsAhZEDBOv/Ojm1x/gLYYOIkTl6QV9M7uN6YM1G+73i8dkG+JNM4SBVCu3j4cAsUsxsA==" saltValue="9tAxWDVoKhgSsaiW3vZew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-493849.93492746353</v>
      </c>
      <c r="D9" s="39" t="s">
        <v>3</v>
      </c>
      <c r="E9" s="1"/>
    </row>
    <row r="10" spans="1:5" x14ac:dyDescent="0.25">
      <c r="A10" s="1"/>
      <c r="B10" s="56" t="s">
        <v>174</v>
      </c>
      <c r="C10" s="9">
        <v>-2407517.4824198931</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-2407517.4824198931</v>
      </c>
      <c r="D15" s="14" t="s">
        <v>3</v>
      </c>
      <c r="E15" s="1"/>
    </row>
    <row r="16" spans="1:5" x14ac:dyDescent="0.25">
      <c r="A16" s="1"/>
      <c r="B16" s="56" t="s">
        <v>185</v>
      </c>
      <c r="C16" s="9">
        <f>IF(SUM(C9)&gt;0,SUM(C9),0)</f>
        <v>0</v>
      </c>
      <c r="D16" s="14" t="s">
        <v>3</v>
      </c>
      <c r="E16" s="1"/>
    </row>
    <row r="17" spans="1:5" ht="26.25" x14ac:dyDescent="0.25">
      <c r="A17" s="1"/>
      <c r="B17" s="72" t="s">
        <v>179</v>
      </c>
      <c r="C17" s="62">
        <f>IF(SUM(C15:C16)&gt;0,0,SUM(C15:C16))</f>
        <v>-2407517.4824198931</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57633659.336691037</v>
      </c>
      <c r="D21" s="14" t="s">
        <v>3</v>
      </c>
      <c r="E21" s="1"/>
    </row>
    <row r="22" spans="1:5" x14ac:dyDescent="0.25">
      <c r="A22" s="1"/>
      <c r="B22" s="56" t="s">
        <v>182</v>
      </c>
      <c r="C22" s="9">
        <v>56698511</v>
      </c>
      <c r="D22" s="14" t="s">
        <v>3</v>
      </c>
      <c r="E22" s="1"/>
    </row>
    <row r="23" spans="1:5" x14ac:dyDescent="0.25">
      <c r="A23" s="1"/>
      <c r="B23" s="56" t="s">
        <v>28</v>
      </c>
      <c r="C23" s="9">
        <v>0</v>
      </c>
      <c r="D23" s="14" t="s">
        <v>3</v>
      </c>
      <c r="E23" s="1"/>
    </row>
    <row r="24" spans="1:5" x14ac:dyDescent="0.25">
      <c r="A24" s="1"/>
      <c r="B24" s="74" t="s">
        <v>183</v>
      </c>
      <c r="C24" s="46">
        <f>C21-C22-C23</f>
        <v>935148.33669103682</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-2407517.4824198931</v>
      </c>
      <c r="D28" s="14" t="s">
        <v>3</v>
      </c>
      <c r="E28" s="1"/>
    </row>
    <row r="29" spans="1:5" x14ac:dyDescent="0.25">
      <c r="A29" s="1"/>
      <c r="B29" s="57" t="s">
        <v>48</v>
      </c>
      <c r="C29" s="9">
        <v>2</v>
      </c>
      <c r="D29" s="14" t="s">
        <v>18</v>
      </c>
      <c r="E29" s="1"/>
    </row>
    <row r="30" spans="1:5" x14ac:dyDescent="0.25">
      <c r="A30" s="1"/>
      <c r="B30" s="58" t="s">
        <v>64</v>
      </c>
      <c r="C30" s="10">
        <f>C28/C29</f>
        <v>-1203758.7412099466</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PHSUS3ecFm/vilaZZywgA16CXNU/NGBC5k5VlJ6AYbdHQ+dhI14Jl7mFfoqDOfM33D2FdNOLJzUhQTFs0ufa0g==" saltValue="T6Eus9mNXO/HWGxs5GQIw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v>-870282</v>
      </c>
      <c r="D10" s="9" t="s">
        <v>3</v>
      </c>
      <c r="E10" s="1"/>
    </row>
    <row r="11" spans="1:5" x14ac:dyDescent="0.25">
      <c r="A11" s="1"/>
      <c r="B11" s="59" t="s">
        <v>99</v>
      </c>
      <c r="C11" s="41">
        <v>-870282</v>
      </c>
      <c r="D11" s="9" t="s">
        <v>3</v>
      </c>
      <c r="E11" s="1"/>
    </row>
    <row r="12" spans="1:5" x14ac:dyDescent="0.25">
      <c r="A12" s="1"/>
      <c r="B12" s="59" t="s">
        <v>100</v>
      </c>
      <c r="C12" s="9">
        <v>-870282</v>
      </c>
      <c r="D12" s="9" t="s">
        <v>3</v>
      </c>
      <c r="E12" s="1"/>
    </row>
    <row r="13" spans="1:5" x14ac:dyDescent="0.25">
      <c r="A13" s="1"/>
      <c r="B13" s="59" t="s">
        <v>101</v>
      </c>
      <c r="C13" s="9">
        <v>-870282</v>
      </c>
      <c r="D13" s="9" t="s">
        <v>3</v>
      </c>
      <c r="E13" s="1"/>
    </row>
    <row r="14" spans="1:5" x14ac:dyDescent="0.25">
      <c r="A14" s="1"/>
      <c r="B14" s="59" t="s">
        <v>102</v>
      </c>
      <c r="C14" s="9">
        <v>-870282</v>
      </c>
      <c r="D14" s="9" t="s">
        <v>3</v>
      </c>
      <c r="E14" s="1"/>
    </row>
    <row r="15" spans="1:5" x14ac:dyDescent="0.25">
      <c r="A15" s="1"/>
      <c r="B15" s="59" t="s">
        <v>103</v>
      </c>
      <c r="C15" s="9">
        <v>-870282</v>
      </c>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-5221692</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1IkFKh+PI/5BxPN6vpaeotbjBVjchYdkKK07e/Gpxno1E9yyR0T4NuCjs+e5MPVzHTKn9HvENdGzNdrqprBXkA==" saltValue="aJfOw+1NeiVIaOzz3AjuC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WjVto3D1W9clNPIU9SyQv+HX2tCywLa8OZdSKAzB1yqlYemDwEBXtx4i7cie54PMAp8MCm/aOG7+Z+WLkcSZHQ==" saltValue="Ki5/jSIBmAGvR1Vvl38r1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197</v>
      </c>
      <c r="C11" s="21">
        <v>32400</v>
      </c>
      <c r="D11" s="14" t="s">
        <v>3</v>
      </c>
      <c r="E11" s="9">
        <v>151888</v>
      </c>
      <c r="F11" s="14" t="s">
        <v>3</v>
      </c>
      <c r="G11" s="1"/>
    </row>
    <row r="12" spans="1:7" x14ac:dyDescent="0.25">
      <c r="A12" s="1"/>
      <c r="B12" s="26" t="s">
        <v>198</v>
      </c>
      <c r="C12" s="21">
        <v>200575.58</v>
      </c>
      <c r="D12" s="14" t="s">
        <v>3</v>
      </c>
      <c r="E12" s="9">
        <v>0</v>
      </c>
      <c r="F12" s="14" t="s">
        <v>3</v>
      </c>
      <c r="G12" s="1"/>
    </row>
    <row r="13" spans="1:7" x14ac:dyDescent="0.25">
      <c r="A13" s="1"/>
      <c r="B13" s="26" t="s">
        <v>199</v>
      </c>
      <c r="C13" s="21">
        <v>1625412</v>
      </c>
      <c r="D13" s="14" t="s">
        <v>3</v>
      </c>
      <c r="E13" s="9">
        <v>4273576.66</v>
      </c>
      <c r="F13" s="14" t="s">
        <v>3</v>
      </c>
      <c r="G13" s="1"/>
    </row>
    <row r="14" spans="1:7" x14ac:dyDescent="0.25">
      <c r="A14" s="1"/>
      <c r="B14" s="26" t="s">
        <v>200</v>
      </c>
      <c r="C14" s="21">
        <v>143306</v>
      </c>
      <c r="D14" s="14" t="s">
        <v>3</v>
      </c>
      <c r="E14" s="9">
        <v>40442.57</v>
      </c>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2001693.58</v>
      </c>
      <c r="D17" s="13" t="s">
        <v>3</v>
      </c>
      <c r="E17" s="12">
        <f>SUM(E10:E16)</f>
        <v>4465907.2300000004</v>
      </c>
      <c r="F17" s="13" t="s">
        <v>3</v>
      </c>
      <c r="G17" s="1"/>
    </row>
    <row r="18" spans="1:7" x14ac:dyDescent="0.25">
      <c r="A18" s="1"/>
      <c r="B18" s="52" t="s">
        <v>147</v>
      </c>
      <c r="C18" s="12">
        <f>C17*(1+'Fane 13. Nøgletal'!C11)</f>
        <v>2134405.864354</v>
      </c>
      <c r="D18" s="13" t="s">
        <v>3</v>
      </c>
      <c r="E18" s="12">
        <f>E17*(1+'Fane 13. Nøgletal'!C11)</f>
        <v>4761996.8793490008</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Be/L+RMmIQ9cUIWK/KHlWg8tolZp/+4/+DLb4Dhf0wslu1RzZ1OEZ+Cry2U77WTsGHAQCKasU8DINkvc3lzsfw==" saltValue="AAnaqi9tkvcV2ws+XuJSG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201</v>
      </c>
      <c r="C10" s="21">
        <v>123475</v>
      </c>
      <c r="D10" s="14" t="s">
        <v>3</v>
      </c>
      <c r="E10" s="9">
        <v>0</v>
      </c>
      <c r="F10" s="14" t="s">
        <v>3</v>
      </c>
      <c r="G10" s="1"/>
    </row>
    <row r="11" spans="1:7" x14ac:dyDescent="0.25">
      <c r="A11" s="1"/>
      <c r="B11" s="23" t="s">
        <v>206</v>
      </c>
      <c r="C11" s="21"/>
      <c r="D11" s="14" t="s">
        <v>3</v>
      </c>
      <c r="E11" s="9">
        <v>461081</v>
      </c>
      <c r="F11" s="14" t="s">
        <v>3</v>
      </c>
      <c r="G11" s="1"/>
    </row>
    <row r="12" spans="1:7" x14ac:dyDescent="0.25">
      <c r="A12" s="1"/>
      <c r="B12" s="23"/>
      <c r="C12" s="21"/>
      <c r="D12" s="14" t="s">
        <v>3</v>
      </c>
      <c r="E12" s="9"/>
      <c r="F12" s="14" t="s">
        <v>3</v>
      </c>
      <c r="G12" s="1"/>
    </row>
    <row r="13" spans="1:7" x14ac:dyDescent="0.25">
      <c r="A13" s="1"/>
      <c r="B13" s="52" t="s">
        <v>148</v>
      </c>
      <c r="C13" s="12">
        <f>SUM(C10:C12)</f>
        <v>123475</v>
      </c>
      <c r="D13" s="13" t="s">
        <v>3</v>
      </c>
      <c r="E13" s="12">
        <f>SUM(E10:E12)</f>
        <v>461081</v>
      </c>
      <c r="F13" s="13" t="s">
        <v>3</v>
      </c>
      <c r="G13" s="1"/>
    </row>
    <row r="14" spans="1:7" x14ac:dyDescent="0.25">
      <c r="A14" s="1"/>
      <c r="B14" s="52" t="s">
        <v>149</v>
      </c>
      <c r="C14" s="12">
        <f>C13*(1+'Fane 13. Nøgletal'!$C$11)^2</f>
        <v>140390.54282274999</v>
      </c>
      <c r="D14" s="13" t="s">
        <v>3</v>
      </c>
      <c r="E14" s="12">
        <f>E13*(1+'Fane 13. Nøgletal'!$C$11)^2</f>
        <v>524247.10974088998</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Dx8/rN+mCzHFXVvakn4kL2XYf4IznHC5h/fFjRi/NI0NIL2CIgPLAJokbOR6UW7DdUli+I0OLoOikkUaAGNiMg==" saltValue="nvuBVoKp4COYPQVP7lJLJQ=="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g6GQTepthXLJLHnNB6WnflwacvTUrLNRBz1By2wNZfRGZvsIux5L9VF6XG1cPWKd6/i8zO7YqCKo/VIOatG8RA==" saltValue="79UicZkMMwhd3HIkau2Br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XCiaeCAOdZLgjXK/oclwZp3VPWCxutOg03BtvB3s9Zn96u4e6N8j1nRM5K/+y6yrMAfnDqRM2RdEAEhq4yMrRA==" saltValue="TiSSDBTxZJS8qgs1VtCOt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eh/dsReWbEU28TVSpiGs2YPby/ACAG60gkevNJI+1uFxFkyV1LYfam6pYPcpTT7bBDHqasb9Z0F7jbgV95iCw==" saltValue="wTngvK8Z6b2nNqAmbZ6bx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37972559.855476595</v>
      </c>
      <c r="D9" s="8" t="s">
        <v>3</v>
      </c>
      <c r="E9" s="1"/>
    </row>
    <row r="10" spans="1:5" ht="17.100000000000001" customHeight="1" x14ac:dyDescent="0.25">
      <c r="A10" s="1"/>
      <c r="B10" s="24" t="s">
        <v>32</v>
      </c>
      <c r="C10" s="7">
        <f>'Fane 10.1. Varige tillæg'!C18</f>
        <v>2134405.864354</v>
      </c>
      <c r="D10" s="8" t="s">
        <v>3</v>
      </c>
      <c r="E10" s="1"/>
    </row>
    <row r="11" spans="1:5" ht="17.100000000000001" customHeight="1" x14ac:dyDescent="0.25">
      <c r="A11" s="1"/>
      <c r="B11" s="24" t="s">
        <v>33</v>
      </c>
      <c r="C11" s="9">
        <f>'Fane 10.1. Varige tillæg'!E18</f>
        <v>4761996.8793490008</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2974812.2203256069</v>
      </c>
      <c r="D16" s="8" t="s">
        <v>3</v>
      </c>
      <c r="E16" s="1"/>
    </row>
    <row r="17" spans="1:5" ht="17.100000000000001" customHeight="1" x14ac:dyDescent="0.25">
      <c r="A17" s="1"/>
      <c r="B17" s="24" t="s">
        <v>9</v>
      </c>
      <c r="C17" s="9">
        <f>-SUM(C9:C16)*'Fane 5. Individuelt eff. krav'!C9</f>
        <v>-216740.62694906114</v>
      </c>
      <c r="D17" s="8" t="s">
        <v>3</v>
      </c>
      <c r="E17" s="1"/>
    </row>
    <row r="18" spans="1:5" ht="17.100000000000001" customHeight="1" x14ac:dyDescent="0.25">
      <c r="A18" s="1"/>
      <c r="B18" s="24" t="s">
        <v>21</v>
      </c>
      <c r="C18" s="9">
        <f>-'Fane 4.1. Gen. krav - drift'!C17</f>
        <v>-391211.08210435888</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47235823.110451773</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23522265.753345031</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140390.54282274999</v>
      </c>
      <c r="D24" s="8" t="s">
        <v>3</v>
      </c>
      <c r="E24" s="1"/>
    </row>
    <row r="25" spans="1:5" ht="15" customHeight="1" x14ac:dyDescent="0.25">
      <c r="A25" s="1"/>
      <c r="B25" s="24" t="s">
        <v>36</v>
      </c>
      <c r="C25" s="9">
        <f>'Fane 10.2. Engangstillæg'!E14</f>
        <v>524247.10974088998</v>
      </c>
      <c r="D25" s="8" t="s">
        <v>3</v>
      </c>
      <c r="E25" s="1"/>
    </row>
    <row r="26" spans="1:5" ht="15" customHeight="1" x14ac:dyDescent="0.25">
      <c r="A26" s="1"/>
      <c r="B26" s="24" t="s">
        <v>79</v>
      </c>
      <c r="C26" s="9">
        <f>-C24*('Fane 13. Nøgletal'!C23+'Fane 5. Individuelt eff. krav'!C9)</f>
        <v>-3443.8044498517456</v>
      </c>
      <c r="D26" s="8" t="s">
        <v>3</v>
      </c>
      <c r="E26" s="1"/>
    </row>
    <row r="27" spans="1:5" ht="15" customHeight="1" x14ac:dyDescent="0.25">
      <c r="A27" s="1"/>
      <c r="B27" s="24" t="s">
        <v>80</v>
      </c>
      <c r="C27" s="9">
        <f>-C25*('Fane 13. Nøgletal'!C18+'Fane 5. Individuelt eff. krav'!C9)</f>
        <v>-2374.9306502285067</v>
      </c>
      <c r="D27" s="8" t="s">
        <v>3</v>
      </c>
      <c r="E27" s="1"/>
    </row>
    <row r="28" spans="1:5" x14ac:dyDescent="0.25">
      <c r="A28" s="1"/>
      <c r="B28" s="74" t="s">
        <v>40</v>
      </c>
      <c r="C28" s="50">
        <f>SUM(C24:C27)</f>
        <v>658818.91746355966</v>
      </c>
      <c r="D28" s="11" t="s">
        <v>3</v>
      </c>
      <c r="E28" s="1"/>
    </row>
    <row r="29" spans="1:5" ht="15" customHeight="1" x14ac:dyDescent="0.25">
      <c r="A29" s="1"/>
      <c r="B29" s="25" t="s">
        <v>65</v>
      </c>
      <c r="C29" s="53"/>
      <c r="D29" s="19"/>
      <c r="E29" s="1"/>
    </row>
    <row r="30" spans="1:5" x14ac:dyDescent="0.25">
      <c r="A30" s="1"/>
      <c r="B30" s="58" t="s">
        <v>66</v>
      </c>
      <c r="C30" s="10">
        <f>'Fane 7. Kontrol af ØR2023'!C30</f>
        <v>-1203758.7412099466</v>
      </c>
      <c r="D30" s="11" t="s">
        <v>3</v>
      </c>
      <c r="E30" s="1"/>
    </row>
    <row r="31" spans="1:5" x14ac:dyDescent="0.25">
      <c r="A31" s="1"/>
      <c r="B31" s="25" t="s">
        <v>70</v>
      </c>
      <c r="C31" s="53"/>
      <c r="D31" s="19"/>
      <c r="E31" s="1"/>
    </row>
    <row r="32" spans="1:5" x14ac:dyDescent="0.25">
      <c r="A32" s="1"/>
      <c r="B32" s="58" t="s">
        <v>71</v>
      </c>
      <c r="C32" s="10">
        <f>'Fane 8. Skattesagen'!C14</f>
        <v>-870282</v>
      </c>
      <c r="D32" s="11" t="s">
        <v>3</v>
      </c>
      <c r="E32" s="1"/>
    </row>
    <row r="33" spans="1:5" x14ac:dyDescent="0.25">
      <c r="A33" s="1"/>
      <c r="B33" s="52" t="s">
        <v>69</v>
      </c>
      <c r="C33" s="29">
        <f>SUM(C20,C22,C28,C30,C32)</f>
        <v>69342867.040050417</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Do2oBLSEuM+GzFvd7U/V5H93XteazjuXjuIqHdVYg3qMYlkdGTzg6trh9DPZ+o7os7XMMV049bc++uAG9O4v8A==" saltValue="8KgpohcbivBIF73A+Ez2Z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47235823.110451773</v>
      </c>
      <c r="D9" s="8" t="s">
        <v>3</v>
      </c>
      <c r="E9" s="1"/>
    </row>
    <row r="10" spans="1:5" ht="15" customHeight="1" x14ac:dyDescent="0.25">
      <c r="A10" s="1"/>
      <c r="B10" s="47" t="s">
        <v>17</v>
      </c>
      <c r="C10" s="41">
        <f>C9*'Fane 13. Nøgletal'!C11</f>
        <v>3131735.0722229523</v>
      </c>
      <c r="D10" s="8" t="s">
        <v>3</v>
      </c>
      <c r="E10" s="1"/>
    </row>
    <row r="11" spans="1:5" ht="15" customHeight="1" x14ac:dyDescent="0.25">
      <c r="A11" s="1"/>
      <c r="B11" s="47" t="s">
        <v>9</v>
      </c>
      <c r="C11" s="9">
        <f>-SUM(C9:C10)*'Fane 5. Individuelt eff. krav'!C9</f>
        <v>-228173.80483856928</v>
      </c>
      <c r="D11" s="8" t="s">
        <v>3</v>
      </c>
      <c r="E11" s="1"/>
    </row>
    <row r="12" spans="1:5" ht="15" customHeight="1" x14ac:dyDescent="0.25">
      <c r="A12" s="1"/>
      <c r="B12" s="47" t="s">
        <v>21</v>
      </c>
      <c r="C12" s="9">
        <f>-'Fane 4.1. Gen. krav - drift'!C22</f>
        <v>-408805.40931092034</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49730578.968525238</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25081791.972791806</v>
      </c>
      <c r="D16" s="11" t="s">
        <v>3</v>
      </c>
      <c r="E16" s="1"/>
    </row>
    <row r="17" spans="1:5" x14ac:dyDescent="0.25">
      <c r="A17" s="1"/>
      <c r="B17" s="25" t="s">
        <v>65</v>
      </c>
      <c r="C17" s="53"/>
      <c r="D17" s="19"/>
      <c r="E17" s="1"/>
    </row>
    <row r="18" spans="1:5" ht="15" customHeight="1" x14ac:dyDescent="0.25">
      <c r="A18" s="1"/>
      <c r="B18" s="45" t="s">
        <v>66</v>
      </c>
      <c r="C18" s="10">
        <f>'Fane 7. Kontrol af ØR2023'!C30</f>
        <v>-1203758.7412099466</v>
      </c>
      <c r="D18" s="11" t="s">
        <v>3</v>
      </c>
      <c r="E18" s="1"/>
    </row>
    <row r="19" spans="1:5" x14ac:dyDescent="0.25">
      <c r="A19" s="1"/>
      <c r="B19" s="25" t="s">
        <v>70</v>
      </c>
      <c r="C19" s="53"/>
      <c r="D19" s="19"/>
      <c r="E19" s="1"/>
    </row>
    <row r="20" spans="1:5" x14ac:dyDescent="0.25">
      <c r="A20" s="1"/>
      <c r="B20" s="58" t="s">
        <v>71</v>
      </c>
      <c r="C20" s="10">
        <f>'Fane 8. Skattesagen'!C15</f>
        <v>-870282</v>
      </c>
      <c r="D20" s="11" t="s">
        <v>3</v>
      </c>
      <c r="E20" s="1"/>
    </row>
    <row r="21" spans="1:5" x14ac:dyDescent="0.25">
      <c r="A21" s="1"/>
      <c r="B21" s="52" t="s">
        <v>73</v>
      </c>
      <c r="C21" s="12">
        <f>SUM(C14,C16,C18,C20)</f>
        <v>72738330.200107098</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RGI+gqOQHLm7EZiNGLgwykMDFOndLWF0oRWFSoOIRLsep5d2DxcBEJEpE9YI7Mqpff1bMm9FNPWMrYmeanbv2Q==" saltValue="FiacUoCf6DC9ji4Dp8lIF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49730578.968525238</v>
      </c>
      <c r="D9" s="8" t="s">
        <v>3</v>
      </c>
      <c r="E9" s="1"/>
    </row>
    <row r="10" spans="1:5" ht="15" customHeight="1" x14ac:dyDescent="0.25">
      <c r="A10" s="1"/>
      <c r="B10" s="47" t="s">
        <v>17</v>
      </c>
      <c r="C10" s="41">
        <f>C9*'Fane 13. Nøgletal'!C11</f>
        <v>3297137.3856132231</v>
      </c>
      <c r="D10" s="8" t="s">
        <v>3</v>
      </c>
      <c r="E10" s="1"/>
    </row>
    <row r="11" spans="1:5" ht="15" customHeight="1" x14ac:dyDescent="0.25">
      <c r="A11" s="1"/>
      <c r="B11" s="47" t="s">
        <v>9</v>
      </c>
      <c r="C11" s="9">
        <f>-SUM(C9:C10)*'Fane 5. Individuelt eff. krav'!C9</f>
        <v>-240224.78434513742</v>
      </c>
      <c r="D11" s="8" t="s">
        <v>3</v>
      </c>
      <c r="E11" s="1"/>
    </row>
    <row r="12" spans="1:5" ht="15" customHeight="1" x14ac:dyDescent="0.25">
      <c r="A12" s="1"/>
      <c r="B12" s="47" t="s">
        <v>21</v>
      </c>
      <c r="C12" s="9">
        <f>-'Fane 4.1. Gen. krav - drift'!C27</f>
        <v>-427191.02378926962</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52360300.546004057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26744714.780587904</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79105015.326591969</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40fmkrJRmi4O6qD6wycqgvxldxIH3ekA4v28bpZOiCNLavRcDHfqqooxUum3MUqailTbD5FcPx0PjWZRQ7DdXA==" saltValue="dvgpEp1qmh0AKatJPpLfr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52360300.546004057</v>
      </c>
      <c r="D9" s="8" t="s">
        <v>3</v>
      </c>
      <c r="E9" s="1"/>
    </row>
    <row r="10" spans="1:5" ht="15" customHeight="1" x14ac:dyDescent="0.25">
      <c r="A10" s="1"/>
      <c r="B10" s="47" t="s">
        <v>17</v>
      </c>
      <c r="C10" s="9">
        <f>C9*'Fane 13. Nøgletal'!C11</f>
        <v>3471487.926200069</v>
      </c>
      <c r="D10" s="8" t="s">
        <v>3</v>
      </c>
      <c r="E10" s="1"/>
    </row>
    <row r="11" spans="1:5" ht="15" customHeight="1" x14ac:dyDescent="0.25">
      <c r="A11" s="1"/>
      <c r="B11" s="47" t="s">
        <v>9</v>
      </c>
      <c r="C11" s="9">
        <f>-SUM(C9:C10)*'Fane 5. Individuelt eff. krav'!C9</f>
        <v>-252927.71907745625</v>
      </c>
      <c r="D11" s="8" t="s">
        <v>3</v>
      </c>
      <c r="E11" s="1"/>
    </row>
    <row r="12" spans="1:5" ht="15" customHeight="1" x14ac:dyDescent="0.25">
      <c r="A12" s="1"/>
      <c r="B12" s="47" t="s">
        <v>21</v>
      </c>
      <c r="C12" s="9">
        <f>-'Fane 4.1. Gen. krav - drift'!C32</f>
        <v>-446403.51289316826</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55132457.240233503</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28517889.370540883</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83650346.610774383</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vHtUvvEzB851uY2uSIL7Xl2ROviwqaTlsNgBXo0ozRWlEN1BOo1PJ6OG0/aiCi659kfADi9yt1c6czAKcIBSug==" saltValue="7xcbMdG3MJqC1P6RaqIKU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37318301.812538072</v>
      </c>
      <c r="D9" s="8" t="s">
        <v>3</v>
      </c>
      <c r="E9" s="1"/>
    </row>
    <row r="10" spans="1:5" x14ac:dyDescent="0.25">
      <c r="A10" s="1"/>
      <c r="B10" s="24" t="s">
        <v>32</v>
      </c>
      <c r="C10" s="7">
        <v>174728.6128</v>
      </c>
      <c r="D10" s="8" t="s">
        <v>3</v>
      </c>
      <c r="E10" s="1"/>
    </row>
    <row r="11" spans="1:5" ht="15" customHeight="1" x14ac:dyDescent="0.25">
      <c r="A11" s="1"/>
      <c r="B11" s="24" t="s">
        <v>33</v>
      </c>
      <c r="C11" s="9">
        <v>75872.160000000003</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1348780.0869685954</v>
      </c>
      <c r="D16" s="8" t="s">
        <v>3</v>
      </c>
      <c r="E16" s="1"/>
    </row>
    <row r="17" spans="1:5" x14ac:dyDescent="0.25">
      <c r="A17" s="1"/>
      <c r="B17" s="24" t="s">
        <v>9</v>
      </c>
      <c r="C17" s="9">
        <v>-614308.13374594261</v>
      </c>
      <c r="D17" s="8" t="s">
        <v>3</v>
      </c>
      <c r="E17" s="1"/>
    </row>
    <row r="18" spans="1:5" x14ac:dyDescent="0.25">
      <c r="A18" s="1"/>
      <c r="B18" s="24" t="s">
        <v>21</v>
      </c>
      <c r="C18" s="9">
        <v>-330814.68308412033</v>
      </c>
      <c r="D18" s="8" t="s">
        <v>3</v>
      </c>
      <c r="E18" s="1"/>
    </row>
    <row r="19" spans="1:5" x14ac:dyDescent="0.25">
      <c r="A19" s="1"/>
      <c r="B19" s="24" t="s">
        <v>22</v>
      </c>
      <c r="C19" s="9">
        <v>0</v>
      </c>
      <c r="D19" s="8" t="s">
        <v>3</v>
      </c>
      <c r="E19" s="1"/>
    </row>
    <row r="20" spans="1:5" x14ac:dyDescent="0.25">
      <c r="A20" s="1"/>
      <c r="B20" s="74" t="s">
        <v>19</v>
      </c>
      <c r="C20" s="10">
        <v>37972559.855476595</v>
      </c>
      <c r="D20" s="11" t="s">
        <v>3</v>
      </c>
      <c r="E20" s="1"/>
    </row>
    <row r="21" spans="1:5" x14ac:dyDescent="0.25">
      <c r="A21" s="1"/>
      <c r="B21" s="52" t="s">
        <v>11</v>
      </c>
      <c r="C21" s="53"/>
      <c r="D21" s="19"/>
      <c r="E21" s="1"/>
    </row>
    <row r="22" spans="1:5" x14ac:dyDescent="0.25">
      <c r="A22" s="1"/>
      <c r="B22" s="54" t="s">
        <v>11</v>
      </c>
      <c r="C22" s="10">
        <v>24160200.238607999</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4" t="s">
        <v>40</v>
      </c>
      <c r="C28" s="10">
        <v>0</v>
      </c>
      <c r="D28" s="11" t="s">
        <v>3</v>
      </c>
      <c r="E28" s="1"/>
    </row>
    <row r="29" spans="1:5" x14ac:dyDescent="0.25">
      <c r="A29" s="1"/>
      <c r="B29" s="25" t="s">
        <v>65</v>
      </c>
      <c r="C29" s="53"/>
      <c r="D29" s="19"/>
      <c r="E29" s="1"/>
    </row>
    <row r="30" spans="1:5" x14ac:dyDescent="0.25">
      <c r="A30" s="1"/>
      <c r="B30" s="58" t="s">
        <v>66</v>
      </c>
      <c r="C30" s="10">
        <v>-246924.96746373177</v>
      </c>
      <c r="D30" s="11" t="s">
        <v>3</v>
      </c>
      <c r="E30" s="1"/>
    </row>
    <row r="31" spans="1:5" ht="15" customHeight="1" x14ac:dyDescent="0.25">
      <c r="A31" s="1"/>
      <c r="B31" s="25" t="s">
        <v>70</v>
      </c>
      <c r="C31" s="53"/>
      <c r="D31" s="19"/>
      <c r="E31" s="1"/>
    </row>
    <row r="32" spans="1:5" ht="15.6" customHeight="1" x14ac:dyDescent="0.25">
      <c r="A32" s="1"/>
      <c r="B32" s="58" t="s">
        <v>71</v>
      </c>
      <c r="C32" s="10">
        <v>-870282</v>
      </c>
      <c r="D32" s="11" t="s">
        <v>3</v>
      </c>
      <c r="E32" s="1"/>
    </row>
    <row r="33" spans="1:5" ht="15.6" customHeight="1" x14ac:dyDescent="0.25">
      <c r="A33" s="1"/>
      <c r="B33" s="52" t="s">
        <v>67</v>
      </c>
      <c r="C33" s="29">
        <v>61015553.126620859</v>
      </c>
      <c r="D33" s="19" t="s">
        <v>3</v>
      </c>
      <c r="E33" s="1"/>
    </row>
    <row r="34" spans="1:5" ht="30" customHeight="1" x14ac:dyDescent="0.25">
      <c r="A34" s="1"/>
      <c r="B34" s="97" t="s">
        <v>193</v>
      </c>
      <c r="C34" s="97"/>
      <c r="D34" s="97"/>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Z0SU5qja5eLQ2dwVZG396a8yyraTNwT9cjNXR5m/PpnuK/yZnbGIZ9INMZOH7FbxubKqJE0s80zSapuhfS4avg==" saltValue="cggJRMg1jpQsCDRj02qnHg=="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16351887.469491774</v>
      </c>
      <c r="D9" s="14" t="s">
        <v>3</v>
      </c>
      <c r="E9" s="1"/>
    </row>
    <row r="10" spans="1:5" x14ac:dyDescent="0.25">
      <c r="A10" s="1"/>
      <c r="B10" s="56" t="s">
        <v>110</v>
      </c>
      <c r="C10" s="22">
        <f>('Fane 3. Omkostninger i ØR2024'!C10+'Fane 3. Omkostninger i ØR2024'!C12+'Fane 3. Omkostninger i ØR2024'!C14)*(1+'Fane 13. Nøgletal'!C10)</f>
        <v>188846.68471423999</v>
      </c>
      <c r="D10" s="14" t="s">
        <v>3</v>
      </c>
      <c r="E10" s="1"/>
    </row>
    <row r="11" spans="1:5" x14ac:dyDescent="0.25">
      <c r="A11" s="1"/>
      <c r="B11" s="56" t="s">
        <v>81</v>
      </c>
      <c r="C11" s="22">
        <f>C9*'Fane 13. Nøgletal'!C23+C10*'Fane 13. Nøgletal'!C23</f>
        <v>330814.68308412033</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17284637.132057276</v>
      </c>
      <c r="D15" s="14" t="s">
        <v>3</v>
      </c>
      <c r="E15" s="1"/>
    </row>
    <row r="16" spans="1:5" x14ac:dyDescent="0.25">
      <c r="A16" s="1"/>
      <c r="B16" s="56" t="s">
        <v>154</v>
      </c>
      <c r="C16" s="22">
        <f>('Fane 2.1. Økonomisk ramme 2025'!C10+'Fane 2.1. Økonomisk ramme 2025'!C12+'Fane 2.1. Økonomisk ramme 2025'!C14)*(1+'Fane 13. Nøgletal'!C11)</f>
        <v>2275916.9731606701</v>
      </c>
      <c r="D16" s="14" t="s">
        <v>3</v>
      </c>
      <c r="E16" s="1"/>
    </row>
    <row r="17" spans="1:5" x14ac:dyDescent="0.25">
      <c r="A17" s="1"/>
      <c r="B17" s="56" t="s">
        <v>155</v>
      </c>
      <c r="C17" s="22">
        <f>(C15+C16)*'Fane 13. Nøgletal'!C23</f>
        <v>391211.08210435888</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20440270.465546016</v>
      </c>
      <c r="D21" s="14" t="s">
        <v>3</v>
      </c>
      <c r="E21" s="1"/>
    </row>
    <row r="22" spans="1:5" x14ac:dyDescent="0.25">
      <c r="A22" s="1"/>
      <c r="B22" s="56" t="s">
        <v>171</v>
      </c>
      <c r="C22" s="48">
        <f>(C21)*'Fane 13. Nøgletal'!C23</f>
        <v>408805.40931092034</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21359551.189463481</v>
      </c>
      <c r="D26" s="14" t="s">
        <v>3</v>
      </c>
      <c r="E26" s="1"/>
    </row>
    <row r="27" spans="1:5" x14ac:dyDescent="0.25">
      <c r="A27" s="1"/>
      <c r="B27" s="56" t="s">
        <v>118</v>
      </c>
      <c r="C27" s="48">
        <f>(C26)*'Fane 13. Nøgletal'!C23</f>
        <v>427191.02378926962</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22320175.644658413</v>
      </c>
      <c r="D31" s="14" t="s">
        <v>3</v>
      </c>
      <c r="E31" s="1"/>
    </row>
    <row r="32" spans="1:5" x14ac:dyDescent="0.25">
      <c r="A32" s="1"/>
      <c r="B32" s="56" t="s">
        <v>138</v>
      </c>
      <c r="C32" s="48">
        <f>(C31)*'Fane 13. Nøgletal'!C23</f>
        <v>446403.51289316826</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5NvWAKzR9axrrIQTKPP4mt6O/6+YTsyzZDOG6cWQzwyjjlfx/wMkFgEovTVth5FhF35i3MTC73AL3iHhTI5aRg==" saltValue="ymTB0pLMKmcLEor7spSlF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25157438.667174019</v>
      </c>
      <c r="D9" s="14" t="s">
        <v>3</v>
      </c>
      <c r="E9" s="1"/>
    </row>
    <row r="10" spans="1:5" x14ac:dyDescent="0.25">
      <c r="A10" s="1"/>
      <c r="B10" s="56" t="s">
        <v>113</v>
      </c>
      <c r="C10" s="48">
        <f>('Fane 3. Omkostninger i ØR2024'!C11+'Fane 3. Omkostninger i ØR2024'!C13+'Fane 3. Omkostninger i ØR2024'!C15)*(1+'Fane 13. Nøgletal'!C10)</f>
        <v>82002.630528000009</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26912816.255739663</v>
      </c>
      <c r="D15" s="14" t="s">
        <v>3</v>
      </c>
      <c r="E15" s="1"/>
    </row>
    <row r="16" spans="1:5" x14ac:dyDescent="0.25">
      <c r="A16" s="1"/>
      <c r="B16" s="56" t="s">
        <v>157</v>
      </c>
      <c r="C16" s="48">
        <f>('Fane 2.1. Økonomisk ramme 2025'!C11+'Fane 2.1. Økonomisk ramme 2025'!C13+'Fane 2.1. Økonomisk ramme 2025'!C15)*(1+'Fane 13. Nøgletal'!C11)</f>
        <v>5077717.2724498399</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34111505.901108466</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36373098.742351957</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38784635.188969895</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TaEgTd5FRIpJQJ3N6vbuzjpjXO8mll42C+B4EMTr9cFHs9fcBcyoQGVmEGC4DaZZDlq1myyJ9JNrLa11Xl2Uaw==" saltValue="tp/4mh2aQ3VpPtSyAVy9R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4.5301740459805688E-3</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ChadP2PquD6JhDvfA/8MAn9U9mQ4Ad91dbWXXR8s19bWFI+ZckCUAfzDE7DBycvoXU1+D+QOR4utpzKT2YRFKg==" saltValue="Q406/UgC9PVOrAKQWHloI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2024-10-08T06:51:36Z</dcterms:modified>
</cp:coreProperties>
</file>