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Assens Rensning AS (S005)\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workbook>
</file>

<file path=xl/calcChain.xml><?xml version="1.0" encoding="utf-8"?>
<calcChain xmlns="http://schemas.openxmlformats.org/spreadsheetml/2006/main">
  <c r="C16" i="15" l="1"/>
  <c r="E28" i="32" l="1"/>
  <c r="C32" i="2" l="1"/>
  <c r="E24" i="32" l="1"/>
  <c r="E32" i="32" s="1"/>
  <c r="E34" i="32" s="1"/>
  <c r="C20" i="23" l="1"/>
  <c r="C20" i="15"/>
  <c r="C20" i="22"/>
  <c r="C14"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<sst xmlns="http://schemas.openxmlformats.org/spreadsheetml/2006/main" count="607" uniqueCount="289">
  <si>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</si>
  <si>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</si>
  <si>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</si>
  <si>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</si>
  <si>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</si>
  <si>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</si>
  <si>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</si>
  <si>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</si>
  <si>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</si>
  <si>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</si>
  <si>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</si>
  <si>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</si>
  <si>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</si>
  <si>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</si>
  <si>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</si>
  <si>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</si>
  <si>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</si>
  <si>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</si>
  <si>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</si>
  <si>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</si>
  <si>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</si>
  <si>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</si>
  <si>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</si>
  <si>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</si>
  <si>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</si>
  <si>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</si>
  <si>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</si>
  <si>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</si>
  <si>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</si>
  <si>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</si>
  <si>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</si>
  <si>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</si>
  <si>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</si>
  <si>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</si>
  <si>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</si>
  <si>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</si>
  <si>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</si>
  <si>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</si>
  <si>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</si>
  <si>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</si>
  <si>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</si>
  <si>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</si>
  <si>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</si>
  <si>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</si>
  <si>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</si>
  <si>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</si>
  <si>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</si>
  <si>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</si>
  <si>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</si>
  <si>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</si>
  <si>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</si>
  <si>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</si>
  <si>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</si>
  <si>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</si>
  <si>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</si>
  <si>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</si>
  <si>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</si>
  <si>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</si>
  <si>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</si>
  <si>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</si>
  <si>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</si>
  <si>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</si>
  <si>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</si>
  <si>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</si>
  <si>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</si>
  <si>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</si>
  <si>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</si>
  <si>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</si>
  <si>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</si>
  <si>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</si>
  <si>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</si>
  <si>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</si>
  <si>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</si>
  <si>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</si>
  <si>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</si>
  <si>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</si>
  <si>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</si>
  <si>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</si>
  <si>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</si>
  <si>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</si>
  <si>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</si>
  <si>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</si>
  <si>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</si>
  <si>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</si>
  <si>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</si>
  <si>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</si>
  <si>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</si>
  <si>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</si>
  <si>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</si>
  <si>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</si>
  <si>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</si>
  <si>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</si>
  <si>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</si>
  <si>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</si>
  <si>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</si>
  <si>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</si>
  <si>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</si>
  <si>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</si>
  <si>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</si>
  <si>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</si>
  <si>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</si>
  <si>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</si>
  <si>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</si>
  <si>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</si>
  <si>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</si>
  <si>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</si>
  <si>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</si>
  <si>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</si>
  <si>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</si>
  <si>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</si>
  <si>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</si>
  <si>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</si>
  <si>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</si>
  <si>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</si>
  <si>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</si>
  <si>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</si>
  <si>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</si>
  <si>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</si>
  <si>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</si>
  <si>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</si>
  <si>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</si>
  <si>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</si>
  <si>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</si>
  <si>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</si>
  <si>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</si>
  <si>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</si>
  <si>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</si>
  <si>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</si>
  <si>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</si>
  <si>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</si>
  <si>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</si>
  <si>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</si>
  <si>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</si>
  <si>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</si>
  <si>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</si>
  <si>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</si>
  <si>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</si>
  <si>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</si>
  <si>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</si>
  <si>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</si>
  <si>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</si>
  <si>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</si>
  <si>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</si>
  <si>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</si>
  <si>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</si>
  <si>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</si>
  <si>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</si>
  <si>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</si>
  <si>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</si>
  <si>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</si>
  <si>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</si>
  <si>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</si>
  <si>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</si>
  <si>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</si>
  <si>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</si>
  <si>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</si>
  <si>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</si>
  <si>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</si>
  <si>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</si>
  <si>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</si>
  <si>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</si>
  <si>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</si>
  <si>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</si>
  <si>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</si>
  <si>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</si>
  <si>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</si>
  <si>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</si>
  <si>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</si>
  <si>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</si>
  <si>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</si>
  <si>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</si>
  <si>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</si>
  <si>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</si>
  <si>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</si>
  <si>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</si>
  <si>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</si>
  <si>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</si>
  <si>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</si>
  <si>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</si>
  <si>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</si>
  <si>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</si>
  <si>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</si>
  <si>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</si>
  <si>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</si>
  <si>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</si>
  <si>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</si>
  <si>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</si>
  <si>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</si>
  <si>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</si>
  <si>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</si>
  <si>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</si>
  <si>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</si>
  <si>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</si>
  <si>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</si>
  <si>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</si>
  <si>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</si>
  <si>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</si>
  <si>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</si>
  <si>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</si>
  <si>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</si>
  <si>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</si>
  <si>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</si>
  <si>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</si>
  <si>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</si>
  <si>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</si>
  <si>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</si>
  <si>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</si>
  <si>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</si>
  <si>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</si>
  <si>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</si>
  <si>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</si>
  <si>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</si>
  <si>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</si>
  <si>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</si>
  <si>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</si>
  <si>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</si>
  <si>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</si>
  <si>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</si>
  <si>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</si>
  <si>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</si>
  <si>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</si>
  <si>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</si>
  <si>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</si>
  <si>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</si>
  <si>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</si>
  <si>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</si>
  <si>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</si>
  <si>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</si>
  <si>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</si>
  <si>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</si>
  <si>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</si>
  <si>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</si>
  <si>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</si>
  <si>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</si>
  <si>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</si>
  <si>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</si>
  <si>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</si>
  <si>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</si>
  <si>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</si>
  <si>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</si>
  <si>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</si>
  <si>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</si>
  <si>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</si>
  <si>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</si>
  <si>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</si>
  <si>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</si>
  <si>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</si>
  <si>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</si>
  <si>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</si>
  <si>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</si>
  <si>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</si>
  <si>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</si>
  <si>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</si>
  <si>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</si>
  <si>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</si>
  <si>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</si>
  <si>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</si>
  <si>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</si>
  <si>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</si>
  <si>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</si>
  <si>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</si>
  <si>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</si>
  <si>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</si>
  <si>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</si>
  <si>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</si>
  <si>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</si>
  <si>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</si>
  <si>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</si>
  <si>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</si>
  <si>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Resultat af kontrol med overholdelse af den økonomiske ramme for 2021</t>
  </si>
  <si>
    <t>Nye tillæg</t>
  </si>
  <si>
    <t>Ingen engangstillæg</t>
  </si>
  <si>
    <t>Ingen anlægsprojekter</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</si>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</sst>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0" fillId="0" borderId="0" xfId="1" applyNumberFormat="1" applyFont="1" applyProtection="1"/>
    <xf numFmtId="165" fontId="0" fillId="0" borderId="0" xfId="0" applyNumberFormat="1" applyProtection="1"/>
    <xf numFmtId="3" fontId="0" fillId="0" borderId="0" xfId="0" applyNumberFormat="1" applyProtection="1"/>
    <xf numFmtId="166" fontId="8" fillId="8" borderId="2" xfId="1" quotePrefix="1" applyNumberFormat="1" applyFont="1" applyFill="1" applyBorder="1" applyAlignment="1" applyProtection="1">
      <alignment horizontal="right" wrapText="1"/>
    </xf>
    <xf numFmtId="166" fontId="8" fillId="8" borderId="1" xfId="1" applyNumberFormat="1" applyFont="1" applyFill="1" applyBorder="1" applyProtection="1"/>
    <xf numFmtId="166" fontId="8" fillId="8" borderId="1" xfId="0" applyNumberFormat="1" applyFont="1" applyFill="1" applyBorder="1" applyProtection="1"/>
    <xf numFmtId="166" fontId="7" fillId="3" borderId="6" xfId="0" applyNumberFormat="1" applyFont="1" applyFill="1" applyBorder="1" applyAlignment="1" applyProtection="1"/>
    <xf numFmtId="166" fontId="0" fillId="2" borderId="0" xfId="0" applyNumberFormat="1" applyFill="1" applyProtection="1"/>
    <xf numFmtId="166" fontId="8" fillId="0" borderId="1" xfId="1" applyNumberFormat="1" applyFont="1" applyFill="1" applyBorder="1" applyProtection="1"/>
    <xf numFmtId="165"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0" t="s">
        <v>4</v>
      </c>
      <c r="E6" s="110"/>
      <c r="F6" s="110"/>
      <c r="G6" s="110"/>
      <c r="H6" s="3"/>
      <c r="I6" s="1"/>
    </row>
    <row r="7" spans="1:9" ht="15" customHeight="1" x14ac:dyDescent="0.25">
      <c r="A7" s="1"/>
      <c r="B7" s="1"/>
      <c r="C7" s="3"/>
      <c r="D7" s="110"/>
      <c r="E7" s="110"/>
      <c r="F7" s="110"/>
      <c r="G7" s="110"/>
      <c r="H7" s="3"/>
      <c r="I7" s="1"/>
    </row>
    <row r="8" spans="1:9" ht="15.75" x14ac:dyDescent="0.25">
      <c r="A8" s="1"/>
      <c r="B8" s="1"/>
      <c r="C8" s="4"/>
      <c r="D8" s="115" t="s">
        <v>225</v>
      </c>
      <c r="E8" s="115"/>
      <c r="F8" s="115"/>
      <c r="G8" s="115"/>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4" t="s">
        <v>5</v>
      </c>
      <c r="E11" s="114"/>
      <c r="F11" s="114"/>
      <c r="G11" s="114"/>
      <c r="H11" s="5"/>
      <c r="I11" s="1"/>
    </row>
    <row r="12" spans="1:9" x14ac:dyDescent="0.25">
      <c r="A12" s="1"/>
      <c r="B12" s="1"/>
      <c r="C12" s="1"/>
      <c r="D12" s="1"/>
      <c r="E12" s="1"/>
      <c r="F12" s="1"/>
      <c r="G12" s="1"/>
      <c r="H12" s="5"/>
      <c r="I12" s="1"/>
    </row>
    <row r="13" spans="1:9" x14ac:dyDescent="0.25">
      <c r="A13" s="1"/>
      <c r="B13" s="1"/>
      <c r="C13" s="6" t="s">
        <v>6</v>
      </c>
      <c r="D13" s="116" t="s">
        <v>169</v>
      </c>
      <c r="E13" s="117"/>
      <c r="F13" s="117"/>
      <c r="G13" s="118"/>
      <c r="H13" s="5"/>
      <c r="I13" s="1"/>
    </row>
    <row r="14" spans="1:9" x14ac:dyDescent="0.25">
      <c r="A14" s="1"/>
      <c r="B14" s="1"/>
      <c r="C14" s="6" t="s">
        <v>16</v>
      </c>
      <c r="D14" s="107" t="s">
        <v>235</v>
      </c>
      <c r="E14" s="108"/>
      <c r="F14" s="108"/>
      <c r="G14" s="109"/>
      <c r="H14" s="5"/>
      <c r="I14" s="1"/>
    </row>
    <row r="15" spans="1:9" x14ac:dyDescent="0.25">
      <c r="A15" s="1"/>
      <c r="B15" s="1"/>
      <c r="C15" s="6" t="s">
        <v>34</v>
      </c>
      <c r="D15" s="107" t="s">
        <v>170</v>
      </c>
      <c r="E15" s="108"/>
      <c r="F15" s="108"/>
      <c r="G15" s="109"/>
      <c r="H15" s="5"/>
      <c r="I15" s="1"/>
    </row>
    <row r="16" spans="1:9" x14ac:dyDescent="0.25">
      <c r="A16" s="1"/>
      <c r="B16" s="1"/>
      <c r="C16" s="6" t="s">
        <v>35</v>
      </c>
      <c r="D16" s="107" t="s">
        <v>182</v>
      </c>
      <c r="E16" s="108"/>
      <c r="F16" s="108"/>
      <c r="G16" s="109"/>
      <c r="H16" s="5"/>
      <c r="I16" s="1"/>
    </row>
    <row r="17" spans="1:9" x14ac:dyDescent="0.25">
      <c r="A17" s="1"/>
      <c r="B17" s="1"/>
      <c r="C17" s="6" t="s">
        <v>119</v>
      </c>
      <c r="D17" s="107" t="s">
        <v>183</v>
      </c>
      <c r="E17" s="108"/>
      <c r="F17" s="108"/>
      <c r="G17" s="109"/>
      <c r="H17" s="5"/>
      <c r="I17" s="1"/>
    </row>
    <row r="18" spans="1:9" x14ac:dyDescent="0.25">
      <c r="A18" s="1"/>
      <c r="B18" s="1"/>
      <c r="C18" s="6" t="s">
        <v>106</v>
      </c>
      <c r="D18" s="104" t="s">
        <v>95</v>
      </c>
      <c r="E18" s="105"/>
      <c r="F18" s="105"/>
      <c r="G18" s="106"/>
      <c r="H18" s="5"/>
      <c r="I18" s="1"/>
    </row>
    <row r="19" spans="1:9" x14ac:dyDescent="0.25">
      <c r="A19" s="1"/>
      <c r="B19" s="1"/>
      <c r="C19" s="6" t="s">
        <v>107</v>
      </c>
      <c r="D19" s="104" t="s">
        <v>96</v>
      </c>
      <c r="E19" s="105"/>
      <c r="F19" s="105"/>
      <c r="G19" s="106"/>
      <c r="H19" s="5"/>
      <c r="I19" s="1"/>
    </row>
    <row r="20" spans="1:9" x14ac:dyDescent="0.25">
      <c r="A20" s="1"/>
      <c r="B20" s="1"/>
      <c r="C20" s="6" t="s">
        <v>7</v>
      </c>
      <c r="D20" s="104" t="s">
        <v>10</v>
      </c>
      <c r="E20" s="105"/>
      <c r="F20" s="105"/>
      <c r="G20" s="106"/>
      <c r="H20" s="5"/>
      <c r="I20" s="1"/>
    </row>
    <row r="21" spans="1:9" x14ac:dyDescent="0.25">
      <c r="A21" s="1"/>
      <c r="B21" s="1"/>
      <c r="C21" s="6" t="s">
        <v>108</v>
      </c>
      <c r="D21" s="111" t="s">
        <v>12</v>
      </c>
      <c r="E21" s="112"/>
      <c r="F21" s="112"/>
      <c r="G21" s="113"/>
      <c r="H21" s="5"/>
      <c r="I21" s="1"/>
    </row>
    <row r="22" spans="1:9" x14ac:dyDescent="0.25">
      <c r="A22" s="1"/>
      <c r="B22" s="1"/>
      <c r="C22" s="6" t="s">
        <v>83</v>
      </c>
      <c r="D22" s="98" t="s">
        <v>184</v>
      </c>
      <c r="E22" s="99"/>
      <c r="F22" s="99"/>
      <c r="G22" s="100"/>
      <c r="H22" s="5"/>
      <c r="I22" s="1"/>
    </row>
    <row r="23" spans="1:9" x14ac:dyDescent="0.25">
      <c r="A23" s="1"/>
      <c r="B23" s="1"/>
      <c r="C23" s="6" t="s">
        <v>8</v>
      </c>
      <c r="D23" s="98" t="s">
        <v>253</v>
      </c>
      <c r="E23" s="99"/>
      <c r="F23" s="99"/>
      <c r="G23" s="100"/>
      <c r="H23" s="5"/>
      <c r="I23" s="1"/>
    </row>
    <row r="24" spans="1:9" x14ac:dyDescent="0.25">
      <c r="A24" s="1"/>
      <c r="B24" s="1"/>
      <c r="C24" s="6" t="s">
        <v>9</v>
      </c>
      <c r="D24" s="98" t="s">
        <v>185</v>
      </c>
      <c r="E24" s="99"/>
      <c r="F24" s="99"/>
      <c r="G24" s="100"/>
      <c r="H24" s="5"/>
      <c r="I24" s="1"/>
    </row>
    <row r="25" spans="1:9" x14ac:dyDescent="0.25">
      <c r="A25" s="1"/>
      <c r="B25" s="1"/>
      <c r="C25" s="6" t="s">
        <v>246</v>
      </c>
      <c r="D25" s="98" t="s">
        <v>237</v>
      </c>
      <c r="E25" s="99"/>
      <c r="F25" s="99"/>
      <c r="G25" s="100"/>
      <c r="H25" s="1"/>
      <c r="I25" s="1"/>
    </row>
    <row r="26" spans="1:9" x14ac:dyDescent="0.25">
      <c r="A26" s="1"/>
      <c r="B26" s="1"/>
      <c r="C26" s="6" t="s">
        <v>247</v>
      </c>
      <c r="D26" s="98" t="s">
        <v>84</v>
      </c>
      <c r="E26" s="99"/>
      <c r="F26" s="99"/>
      <c r="G26" s="100"/>
      <c r="H26" s="1"/>
      <c r="I26" s="1"/>
    </row>
    <row r="27" spans="1:9" x14ac:dyDescent="0.25">
      <c r="A27" s="1"/>
      <c r="B27" s="1"/>
      <c r="C27" s="6" t="s">
        <v>248</v>
      </c>
      <c r="D27" s="98" t="s">
        <v>85</v>
      </c>
      <c r="E27" s="99"/>
      <c r="F27" s="99"/>
      <c r="G27" s="100"/>
      <c r="H27" s="1"/>
      <c r="I27" s="1"/>
    </row>
    <row r="28" spans="1:9" x14ac:dyDescent="0.25">
      <c r="A28" s="1"/>
      <c r="B28" s="1"/>
      <c r="C28" s="6" t="s">
        <v>15</v>
      </c>
      <c r="D28" s="98" t="s">
        <v>86</v>
      </c>
      <c r="E28" s="99"/>
      <c r="F28" s="99"/>
      <c r="G28" s="100"/>
      <c r="H28" s="1"/>
      <c r="I28" s="1"/>
    </row>
    <row r="29" spans="1:9" x14ac:dyDescent="0.25">
      <c r="A29" s="1"/>
      <c r="B29" s="1"/>
      <c r="C29" s="6" t="s">
        <v>37</v>
      </c>
      <c r="D29" s="98" t="s">
        <v>134</v>
      </c>
      <c r="E29" s="99"/>
      <c r="F29" s="99"/>
      <c r="G29" s="100"/>
      <c r="H29" s="1"/>
      <c r="I29" s="1"/>
    </row>
    <row r="30" spans="1:9" x14ac:dyDescent="0.25">
      <c r="A30" s="1"/>
      <c r="B30" s="1"/>
      <c r="C30" s="6" t="s">
        <v>38</v>
      </c>
      <c r="D30" s="98" t="s">
        <v>36</v>
      </c>
      <c r="E30" s="99"/>
      <c r="F30" s="99"/>
      <c r="G30" s="100"/>
      <c r="H30" s="1"/>
      <c r="I30" s="1"/>
    </row>
    <row r="31" spans="1:9" x14ac:dyDescent="0.25">
      <c r="A31" s="1"/>
      <c r="B31" s="1"/>
      <c r="C31" s="6" t="s">
        <v>249</v>
      </c>
      <c r="D31" s="101" t="s">
        <v>105</v>
      </c>
      <c r="E31" s="102"/>
      <c r="F31" s="102"/>
      <c r="G31" s="10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NQ02zB2/MR38/TxYCyStckXJJ8wUzYjhwaEHgtPo72cMwprz17Nuji31sC19hI9EXEIkD5NesmulSTxLgYQ5Eg==" saltValue="JLT5is7ZM095Oz4yBwDC9w=="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5" t="s">
        <v>32</v>
      </c>
      <c r="C9" s="54" t="s">
        <v>240</v>
      </c>
      <c r="D9" s="11"/>
      <c r="E9" s="1"/>
      <c r="F9" s="1"/>
    </row>
    <row r="10" spans="1:6" x14ac:dyDescent="0.25">
      <c r="A10" s="1"/>
      <c r="B10" s="94" t="s">
        <v>265</v>
      </c>
      <c r="C10" s="9">
        <v>790531</v>
      </c>
      <c r="D10" s="14" t="s">
        <v>3</v>
      </c>
      <c r="E10" s="1"/>
      <c r="F10" s="1"/>
    </row>
    <row r="11" spans="1:6" x14ac:dyDescent="0.25">
      <c r="A11" s="1"/>
      <c r="B11" s="94" t="s">
        <v>266</v>
      </c>
      <c r="C11" s="9">
        <v>99858</v>
      </c>
      <c r="D11" s="14" t="s">
        <v>3</v>
      </c>
      <c r="E11" s="1"/>
      <c r="F11" s="1"/>
    </row>
    <row r="12" spans="1:6" x14ac:dyDescent="0.25">
      <c r="A12" s="1"/>
      <c r="B12" s="94" t="s">
        <v>267</v>
      </c>
      <c r="C12" s="9">
        <v>173504</v>
      </c>
      <c r="D12" s="14" t="s">
        <v>3</v>
      </c>
      <c r="E12" s="1"/>
      <c r="F12" s="1"/>
    </row>
    <row r="13" spans="1:6" x14ac:dyDescent="0.25">
      <c r="A13" s="1"/>
      <c r="B13" s="94" t="s">
        <v>268</v>
      </c>
      <c r="C13" s="9">
        <v>154847</v>
      </c>
      <c r="D13" s="14" t="s">
        <v>3</v>
      </c>
      <c r="E13" s="1"/>
      <c r="F13" s="1"/>
    </row>
    <row r="14" spans="1:6" x14ac:dyDescent="0.25">
      <c r="A14" s="1"/>
      <c r="B14" s="31" t="s">
        <v>200</v>
      </c>
      <c r="C14" s="12">
        <f>SUM(C10:C13)</f>
        <v>1218740</v>
      </c>
      <c r="D14" s="13" t="s">
        <v>3</v>
      </c>
      <c r="E14" s="1"/>
      <c r="F14" s="1"/>
    </row>
    <row r="15" spans="1:6" x14ac:dyDescent="0.25">
      <c r="A15" s="1"/>
      <c r="B15" s="31" t="s">
        <v>201</v>
      </c>
      <c r="C15" s="12">
        <f>C14*(1+'Fane 15. Nøgletal'!C15)^2</f>
        <v>1307058.8703264</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31" t="s">
        <v>117</v>
      </c>
      <c r="C18" s="132"/>
      <c r="D18" s="133"/>
      <c r="E18" s="1"/>
      <c r="F18" s="1"/>
    </row>
    <row r="19" spans="1:6" x14ac:dyDescent="0.25">
      <c r="A19" s="1"/>
      <c r="B19" s="94" t="s">
        <v>99</v>
      </c>
      <c r="C19" s="9">
        <v>0</v>
      </c>
      <c r="D19" s="14" t="s">
        <v>3</v>
      </c>
      <c r="E19" s="1"/>
      <c r="F19" s="1"/>
    </row>
    <row r="20" spans="1:6" x14ac:dyDescent="0.25">
      <c r="A20" s="1"/>
      <c r="B20" s="94" t="s">
        <v>129</v>
      </c>
      <c r="C20" s="9">
        <v>0</v>
      </c>
      <c r="D20" s="14" t="s">
        <v>3</v>
      </c>
      <c r="E20" s="1"/>
      <c r="F20" s="1"/>
    </row>
    <row r="21" spans="1:6" x14ac:dyDescent="0.25">
      <c r="A21" s="1"/>
      <c r="B21" s="94" t="s">
        <v>155</v>
      </c>
      <c r="C21" s="9">
        <v>0</v>
      </c>
      <c r="D21" s="14" t="s">
        <v>3</v>
      </c>
      <c r="E21" s="1"/>
      <c r="F21" s="1"/>
    </row>
    <row r="22" spans="1:6" x14ac:dyDescent="0.25">
      <c r="A22" s="1"/>
      <c r="B22" s="32" t="s">
        <v>202</v>
      </c>
      <c r="C22" s="9">
        <v>0</v>
      </c>
      <c r="D22" s="39" t="s">
        <v>3</v>
      </c>
      <c r="E22" s="1"/>
      <c r="F22" s="1"/>
    </row>
    <row r="23" spans="1:6" x14ac:dyDescent="0.25">
      <c r="A23" s="1"/>
      <c r="B23" s="131"/>
      <c r="C23" s="132"/>
      <c r="D23" s="133"/>
      <c r="E23" s="1"/>
      <c r="F23" s="1"/>
    </row>
    <row r="24" spans="1:6" x14ac:dyDescent="0.25">
      <c r="A24" s="1"/>
      <c r="B24" s="1"/>
      <c r="C24" s="1"/>
      <c r="D24" s="1"/>
      <c r="E24" s="1"/>
      <c r="F24" s="1"/>
    </row>
    <row r="25" spans="1:6" x14ac:dyDescent="0.25">
      <c r="A25" s="1"/>
      <c r="B25" s="1"/>
      <c r="C25" s="1"/>
      <c r="D25" s="1"/>
      <c r="E25" s="1"/>
      <c r="F25" s="1"/>
    </row>
    <row r="26" spans="1:6" x14ac:dyDescent="0.25">
      <c r="A26" s="1"/>
      <c r="B26" s="131" t="s">
        <v>98</v>
      </c>
      <c r="C26" s="132"/>
      <c r="D26" s="133"/>
      <c r="E26" s="1"/>
      <c r="F26" s="1"/>
    </row>
    <row r="27" spans="1:6" x14ac:dyDescent="0.25">
      <c r="A27" s="1"/>
      <c r="B27" s="94" t="s">
        <v>99</v>
      </c>
      <c r="C27" s="9">
        <v>0</v>
      </c>
      <c r="D27" s="14" t="s">
        <v>3</v>
      </c>
      <c r="E27" s="1"/>
      <c r="F27" s="1"/>
    </row>
    <row r="28" spans="1:6" x14ac:dyDescent="0.25">
      <c r="A28" s="1"/>
      <c r="B28" s="94" t="s">
        <v>129</v>
      </c>
      <c r="C28" s="9">
        <v>0</v>
      </c>
      <c r="D28" s="14" t="s">
        <v>3</v>
      </c>
      <c r="E28" s="1"/>
      <c r="F28" s="1"/>
    </row>
    <row r="29" spans="1:6" x14ac:dyDescent="0.25">
      <c r="A29" s="1"/>
      <c r="B29" s="94" t="s">
        <v>155</v>
      </c>
      <c r="C29" s="9">
        <v>0</v>
      </c>
      <c r="D29" s="14" t="s">
        <v>3</v>
      </c>
      <c r="E29" s="1"/>
      <c r="F29" s="1"/>
    </row>
    <row r="30" spans="1:6" x14ac:dyDescent="0.25">
      <c r="A30" s="1"/>
      <c r="B30" s="32" t="s">
        <v>202</v>
      </c>
      <c r="C30" s="9">
        <v>0</v>
      </c>
      <c r="D30" s="39" t="s">
        <v>3</v>
      </c>
      <c r="E30" s="1"/>
      <c r="F30" s="1"/>
    </row>
    <row r="31" spans="1:6" x14ac:dyDescent="0.25">
      <c r="A31" s="1"/>
      <c r="B31" s="131"/>
      <c r="C31" s="132"/>
      <c r="D31" s="133"/>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48"/>
      <c r="B48" s="48"/>
      <c r="C48" s="48"/>
      <c r="D48" s="48"/>
      <c r="E48" s="48"/>
      <c r="F48" s="48"/>
    </row>
    <row r="49" spans="1:6" x14ac:dyDescent="0.25">
      <c r="A49" s="48"/>
      <c r="B49" s="48"/>
      <c r="C49" s="48"/>
      <c r="D49" s="48"/>
      <c r="E49" s="48"/>
      <c r="F49" s="48"/>
    </row>
    <row r="50" spans="1:6" x14ac:dyDescent="0.25">
      <c r="A50" s="48"/>
      <c r="B50" s="48"/>
      <c r="C50" s="48"/>
      <c r="D50" s="48"/>
      <c r="E50" s="48"/>
      <c r="F50" s="48"/>
    </row>
    <row r="51" spans="1:6" x14ac:dyDescent="0.25">
      <c r="A51" s="48"/>
      <c r="B51" s="48"/>
      <c r="C51" s="48"/>
      <c r="D51" s="48"/>
      <c r="E51" s="48"/>
      <c r="F51" s="48"/>
    </row>
  </sheetData>
  <sheetProtection algorithmName="SHA-512" hashValue="znPeBAPa/Nvf2mP0eVlS0Ux3WVYi9tJ1Hvo2AlpClGkNRe+NhUM0L96p3MM6PyMDTGlZPISnpo2VFFXSGGtz5g==" saltValue="5ripuhLHczFxkpvgwL1oBw=="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L41"/>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9" width="9.140625" style="2"/>
    <col min="10" max="10" width="14.42578125" style="2" bestFit="1" customWidth="1"/>
    <col min="11" max="11" width="11.5703125" style="2" bestFit="1" customWidth="1"/>
    <col min="12"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203</v>
      </c>
      <c r="C3" s="124"/>
      <c r="D3" s="124"/>
      <c r="E3" s="124"/>
      <c r="F3" s="124"/>
      <c r="G3" s="1"/>
    </row>
    <row r="4" spans="1:7" ht="15" customHeight="1" x14ac:dyDescent="0.25">
      <c r="A4" s="1"/>
      <c r="B4" s="124"/>
      <c r="C4" s="124"/>
      <c r="D4" s="124"/>
      <c r="E4" s="124"/>
      <c r="F4" s="124"/>
      <c r="G4" s="1"/>
    </row>
    <row r="5" spans="1:7" ht="15" customHeight="1" x14ac:dyDescent="0.25">
      <c r="A5" s="1"/>
      <c r="B5" s="82"/>
      <c r="C5" s="82"/>
      <c r="D5" s="82"/>
      <c r="E5" s="82"/>
      <c r="F5" s="82"/>
      <c r="G5" s="1"/>
    </row>
    <row r="6" spans="1:7" ht="15" customHeight="1" x14ac:dyDescent="0.25">
      <c r="A6" s="1"/>
      <c r="B6" s="82"/>
      <c r="C6" s="82"/>
      <c r="D6" s="82"/>
      <c r="E6" s="82"/>
      <c r="F6" s="82"/>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36" t="s">
        <v>204</v>
      </c>
      <c r="C9" s="137"/>
      <c r="D9" s="138"/>
      <c r="E9" s="9">
        <v>-592462.64616102725</v>
      </c>
      <c r="F9" s="14" t="s">
        <v>3</v>
      </c>
      <c r="G9" s="1"/>
    </row>
    <row r="10" spans="1:7" x14ac:dyDescent="0.25">
      <c r="A10" s="1"/>
      <c r="B10" s="136" t="s">
        <v>263</v>
      </c>
      <c r="C10" s="137"/>
      <c r="D10" s="138"/>
      <c r="E10" s="9">
        <v>-592462.64616102725</v>
      </c>
      <c r="F10" s="14" t="s">
        <v>3</v>
      </c>
      <c r="G10" s="1"/>
    </row>
    <row r="11" spans="1:7" x14ac:dyDescent="0.25">
      <c r="A11" s="1"/>
      <c r="B11" s="31"/>
      <c r="C11" s="26"/>
      <c r="D11" s="26"/>
      <c r="E11" s="26"/>
      <c r="F11" s="18"/>
      <c r="G11" s="1"/>
    </row>
    <row r="12" spans="1:7" ht="67.5" customHeight="1" x14ac:dyDescent="0.25">
      <c r="A12" s="1"/>
      <c r="B12" s="121" t="s">
        <v>287</v>
      </c>
      <c r="C12" s="122"/>
      <c r="D12" s="122"/>
      <c r="E12" s="122"/>
      <c r="F12" s="123"/>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36" t="s">
        <v>282</v>
      </c>
      <c r="C15" s="137"/>
      <c r="D15" s="138"/>
      <c r="E15" s="9">
        <v>-1195596.3230805136</v>
      </c>
      <c r="F15" s="14" t="s">
        <v>3</v>
      </c>
      <c r="G15" s="1"/>
    </row>
    <row r="16" spans="1:7" x14ac:dyDescent="0.25">
      <c r="A16" s="1"/>
      <c r="B16" s="136" t="s">
        <v>283</v>
      </c>
      <c r="C16" s="137"/>
      <c r="D16" s="138"/>
      <c r="E16" s="9">
        <v>-1195596.3230805136</v>
      </c>
      <c r="F16" s="14" t="s">
        <v>3</v>
      </c>
      <c r="G16" s="1"/>
    </row>
    <row r="17" spans="1:12" x14ac:dyDescent="0.25">
      <c r="A17" s="1"/>
      <c r="B17" s="31"/>
      <c r="C17" s="26"/>
      <c r="D17" s="26"/>
      <c r="E17" s="26"/>
      <c r="F17" s="18"/>
      <c r="G17" s="1"/>
    </row>
    <row r="18" spans="1:12" ht="31.5" customHeight="1" x14ac:dyDescent="0.25">
      <c r="A18" s="1"/>
      <c r="B18" s="121" t="s">
        <v>288</v>
      </c>
      <c r="C18" s="122"/>
      <c r="D18" s="122"/>
      <c r="E18" s="122"/>
      <c r="F18" s="123"/>
      <c r="G18" s="1"/>
      <c r="J18" s="71"/>
      <c r="K18" s="72"/>
    </row>
    <row r="19" spans="1:12" ht="28.5" customHeight="1" x14ac:dyDescent="0.25">
      <c r="A19" s="1"/>
      <c r="B19" s="1"/>
      <c r="C19" s="1"/>
      <c r="D19" s="1"/>
      <c r="E19" s="1"/>
      <c r="F19" s="1"/>
      <c r="G19" s="1"/>
      <c r="J19" s="73"/>
      <c r="K19" s="72"/>
    </row>
    <row r="20" spans="1:12" ht="28.5" customHeight="1" x14ac:dyDescent="0.25">
      <c r="A20" s="1"/>
      <c r="B20" s="86" t="s">
        <v>205</v>
      </c>
      <c r="C20" s="87"/>
      <c r="D20" s="87"/>
      <c r="E20" s="87"/>
      <c r="F20" s="88"/>
      <c r="G20" s="1"/>
      <c r="K20" s="72"/>
      <c r="L20" s="73"/>
    </row>
    <row r="21" spans="1:12" x14ac:dyDescent="0.25">
      <c r="A21" s="1"/>
      <c r="B21" s="91" t="s">
        <v>206</v>
      </c>
      <c r="C21" s="92"/>
      <c r="D21" s="93"/>
      <c r="E21" s="9">
        <v>22784224.844318651</v>
      </c>
      <c r="F21" s="14" t="s">
        <v>3</v>
      </c>
      <c r="G21" s="1"/>
    </row>
    <row r="22" spans="1:12" x14ac:dyDescent="0.25">
      <c r="A22" s="1"/>
      <c r="B22" s="91" t="s">
        <v>207</v>
      </c>
      <c r="C22" s="92"/>
      <c r="D22" s="93"/>
      <c r="E22" s="9">
        <v>22077913</v>
      </c>
      <c r="F22" s="14" t="s">
        <v>3</v>
      </c>
      <c r="G22" s="1"/>
    </row>
    <row r="23" spans="1:12" x14ac:dyDescent="0.25">
      <c r="A23" s="1"/>
      <c r="B23" s="91" t="s">
        <v>33</v>
      </c>
      <c r="C23" s="92"/>
      <c r="D23" s="93"/>
      <c r="E23" s="9">
        <v>0</v>
      </c>
      <c r="F23" s="14" t="s">
        <v>3</v>
      </c>
      <c r="G23" s="1"/>
    </row>
    <row r="24" spans="1:12" x14ac:dyDescent="0.25">
      <c r="A24" s="1"/>
      <c r="B24" s="89" t="s">
        <v>269</v>
      </c>
      <c r="C24" s="90"/>
      <c r="D24" s="96"/>
      <c r="E24" s="68">
        <f>E21-(E22-E23)</f>
        <v>706311.84431865066</v>
      </c>
      <c r="F24" s="17" t="s">
        <v>3</v>
      </c>
      <c r="G24" s="1"/>
    </row>
    <row r="25" spans="1:12" x14ac:dyDescent="0.25">
      <c r="A25" s="1"/>
      <c r="B25" s="31"/>
      <c r="C25" s="26"/>
      <c r="D25" s="26"/>
      <c r="E25" s="26"/>
      <c r="F25" s="18"/>
      <c r="G25" s="1"/>
    </row>
    <row r="26" spans="1:12" x14ac:dyDescent="0.25">
      <c r="A26" s="1"/>
      <c r="B26" s="1"/>
      <c r="C26" s="1"/>
      <c r="D26" s="1"/>
      <c r="E26" s="1"/>
      <c r="F26" s="1"/>
      <c r="G26" s="1"/>
    </row>
    <row r="27" spans="1:12" x14ac:dyDescent="0.25">
      <c r="A27" s="1"/>
      <c r="B27" s="131" t="s">
        <v>284</v>
      </c>
      <c r="C27" s="132"/>
      <c r="D27" s="132"/>
      <c r="E27" s="132"/>
      <c r="F27" s="133"/>
      <c r="G27" s="1"/>
    </row>
    <row r="28" spans="1:12" x14ac:dyDescent="0.25">
      <c r="A28" s="1"/>
      <c r="B28" s="134" t="s">
        <v>285</v>
      </c>
      <c r="C28" s="135"/>
      <c r="D28" s="154"/>
      <c r="E28" s="69">
        <f>E16-E10</f>
        <v>-603133.67691948637</v>
      </c>
      <c r="F28" s="17" t="s">
        <v>3</v>
      </c>
      <c r="G28" s="1"/>
    </row>
    <row r="29" spans="1:12" x14ac:dyDescent="0.25">
      <c r="A29" s="1"/>
      <c r="B29" s="131"/>
      <c r="C29" s="132"/>
      <c r="D29" s="132"/>
      <c r="E29" s="132"/>
      <c r="F29" s="133"/>
      <c r="G29" s="1"/>
    </row>
    <row r="30" spans="1:12" x14ac:dyDescent="0.25">
      <c r="A30" s="1"/>
      <c r="B30" s="1"/>
      <c r="C30" s="1"/>
      <c r="D30" s="1"/>
      <c r="E30" s="1"/>
      <c r="F30" s="1"/>
      <c r="G30" s="1"/>
    </row>
    <row r="31" spans="1:12" ht="28.5" customHeight="1" x14ac:dyDescent="0.25">
      <c r="A31" s="1"/>
      <c r="B31" s="131" t="s">
        <v>264</v>
      </c>
      <c r="C31" s="132"/>
      <c r="D31" s="132"/>
      <c r="E31" s="132"/>
      <c r="F31" s="133"/>
      <c r="G31" s="1"/>
    </row>
    <row r="32" spans="1:12" x14ac:dyDescent="0.25">
      <c r="A32" s="1"/>
      <c r="B32" s="155" t="s">
        <v>143</v>
      </c>
      <c r="C32" s="156"/>
      <c r="D32" s="157"/>
      <c r="E32" s="70">
        <f>IF(AND(E9&gt;0,(E9+E24)&gt;0),0,IF(AND(E9&gt;0,(E9+E24)&lt;0),(E9+E24),IF(AND(E9&lt;0,E24&lt;0),E24,0)))</f>
        <v>0</v>
      </c>
      <c r="F32" s="14" t="s">
        <v>3</v>
      </c>
      <c r="G32" s="1"/>
    </row>
    <row r="33" spans="1:7" x14ac:dyDescent="0.25">
      <c r="A33" s="1"/>
      <c r="B33" s="155" t="s">
        <v>102</v>
      </c>
      <c r="C33" s="156"/>
      <c r="D33" s="157"/>
      <c r="E33" s="9">
        <v>4</v>
      </c>
      <c r="F33" s="14" t="s">
        <v>20</v>
      </c>
      <c r="G33" s="1"/>
    </row>
    <row r="34" spans="1:7" x14ac:dyDescent="0.25">
      <c r="A34" s="1"/>
      <c r="B34" s="150" t="s">
        <v>144</v>
      </c>
      <c r="C34" s="150"/>
      <c r="D34" s="150"/>
      <c r="E34" s="69">
        <f>E32/E33</f>
        <v>0</v>
      </c>
      <c r="F34" s="17" t="s">
        <v>3</v>
      </c>
      <c r="G34" s="1"/>
    </row>
    <row r="35" spans="1:7" x14ac:dyDescent="0.25">
      <c r="A35" s="1"/>
      <c r="B35" s="151"/>
      <c r="C35" s="152"/>
      <c r="D35" s="152"/>
      <c r="E35" s="152"/>
      <c r="F35" s="153"/>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B39" s="48"/>
      <c r="C39" s="48"/>
      <c r="D39" s="48"/>
      <c r="E39" s="48"/>
      <c r="F39" s="48"/>
    </row>
    <row r="40" spans="1:7" x14ac:dyDescent="0.25">
      <c r="A40" s="48"/>
      <c r="B40" s="48"/>
      <c r="C40" s="48"/>
      <c r="D40" s="48"/>
      <c r="E40" s="48"/>
      <c r="F40" s="48"/>
      <c r="G40" s="48"/>
    </row>
    <row r="41" spans="1:7" x14ac:dyDescent="0.25">
      <c r="A41" s="48"/>
      <c r="B41" s="48"/>
      <c r="C41" s="48"/>
      <c r="D41" s="48"/>
      <c r="E41" s="48"/>
      <c r="F41" s="48"/>
      <c r="G41" s="48"/>
    </row>
  </sheetData>
  <sheetProtection algorithmName="SHA-512" hashValue="YRJR2tyxBnsNlnB3Dv01VJgA2Vn60x//Ig1v6ZAMz7AcdT//ITXcDHzWlDqjjE/7agwgoKVRENuhd7T8z7md/A==" saltValue="I3fhTz7Lx+v++mqjFSxzAg=="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5" customWidth="1"/>
    <col min="2" max="2" width="22.5703125" style="65" customWidth="1"/>
    <col min="3" max="3" width="8.28515625" style="65" customWidth="1"/>
    <col min="4" max="6" width="10.7109375" style="65" customWidth="1"/>
    <col min="7" max="7" width="11.140625" style="65" customWidth="1"/>
    <col min="8" max="8" width="3.28515625" style="65" customWidth="1"/>
    <col min="9" max="9" width="4.85546875" style="65" customWidth="1"/>
    <col min="10" max="16384" width="9.140625" style="65"/>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58" t="s">
        <v>274</v>
      </c>
      <c r="C10" s="159"/>
      <c r="D10" s="159"/>
      <c r="E10" s="159"/>
      <c r="F10" s="160"/>
      <c r="G10" s="9">
        <v>0</v>
      </c>
      <c r="H10" s="9" t="s">
        <v>3</v>
      </c>
      <c r="I10" s="1"/>
    </row>
    <row r="11" spans="1:9" x14ac:dyDescent="0.25">
      <c r="A11" s="1"/>
      <c r="B11" s="158" t="s">
        <v>275</v>
      </c>
      <c r="C11" s="159"/>
      <c r="D11" s="159"/>
      <c r="E11" s="159"/>
      <c r="F11" s="160"/>
      <c r="G11" s="9">
        <v>0</v>
      </c>
      <c r="H11" s="9" t="s">
        <v>3</v>
      </c>
      <c r="I11" s="1"/>
    </row>
    <row r="12" spans="1:9" x14ac:dyDescent="0.25">
      <c r="A12" s="1"/>
      <c r="B12" s="158" t="s">
        <v>276</v>
      </c>
      <c r="C12" s="159"/>
      <c r="D12" s="159"/>
      <c r="E12" s="159"/>
      <c r="F12" s="160"/>
      <c r="G12" s="9">
        <v>0</v>
      </c>
      <c r="H12" s="9" t="s">
        <v>3</v>
      </c>
      <c r="I12" s="1"/>
    </row>
    <row r="13" spans="1:9" x14ac:dyDescent="0.25">
      <c r="A13" s="1"/>
      <c r="B13" s="158" t="s">
        <v>277</v>
      </c>
      <c r="C13" s="159"/>
      <c r="D13" s="159"/>
      <c r="E13" s="159"/>
      <c r="F13" s="160"/>
      <c r="G13" s="9">
        <v>0</v>
      </c>
      <c r="H13" s="9" t="s">
        <v>3</v>
      </c>
      <c r="I13" s="1"/>
    </row>
    <row r="14" spans="1:9" x14ac:dyDescent="0.25">
      <c r="A14" s="1"/>
      <c r="B14" s="158" t="s">
        <v>278</v>
      </c>
      <c r="C14" s="159"/>
      <c r="D14" s="159"/>
      <c r="E14" s="159"/>
      <c r="F14" s="160"/>
      <c r="G14" s="9">
        <v>0</v>
      </c>
      <c r="H14" s="9" t="s">
        <v>3</v>
      </c>
      <c r="I14" s="1"/>
    </row>
    <row r="15" spans="1:9" x14ac:dyDescent="0.25">
      <c r="A15" s="1"/>
      <c r="B15" s="158" t="s">
        <v>279</v>
      </c>
      <c r="C15" s="159"/>
      <c r="D15" s="159"/>
      <c r="E15" s="159"/>
      <c r="F15" s="160"/>
      <c r="G15" s="9">
        <v>0</v>
      </c>
      <c r="H15" s="9" t="s">
        <v>3</v>
      </c>
      <c r="I15" s="1"/>
    </row>
    <row r="16" spans="1:9" x14ac:dyDescent="0.25">
      <c r="A16" s="1"/>
      <c r="B16" s="158" t="s">
        <v>280</v>
      </c>
      <c r="C16" s="159"/>
      <c r="D16" s="159"/>
      <c r="E16" s="159"/>
      <c r="F16" s="160"/>
      <c r="G16" s="9">
        <v>0</v>
      </c>
      <c r="H16" s="9" t="s">
        <v>3</v>
      </c>
      <c r="I16" s="1"/>
    </row>
    <row r="17" spans="1:9" x14ac:dyDescent="0.25">
      <c r="A17" s="1"/>
      <c r="B17" s="158" t="s">
        <v>281</v>
      </c>
      <c r="C17" s="159"/>
      <c r="D17" s="159"/>
      <c r="E17" s="159"/>
      <c r="F17" s="160"/>
      <c r="G17" s="9">
        <v>0</v>
      </c>
      <c r="H17" s="9" t="s">
        <v>3</v>
      </c>
      <c r="I17" s="1"/>
    </row>
    <row r="18" spans="1:9" x14ac:dyDescent="0.25">
      <c r="A18" s="1"/>
      <c r="B18" s="131" t="s">
        <v>252</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9gwmb0YZefVCmH+l26jKlYo5PgRYdfUU610sssuoSSr045lFPmY5VfioUXw4ODq0iIQE9xRzrRv3CFVzAl6r3g==" saltValue="JY/vCIN/zOYXL3St5BTShQ==" spinCount="100000" sheet="1" objects="1" scenarios="1"/>
  <mergeCells count="12">
    <mergeCell ref="B17:F17"/>
    <mergeCell ref="B18:F18"/>
    <mergeCell ref="B12:F12"/>
    <mergeCell ref="B13:F13"/>
    <mergeCell ref="B14:F14"/>
    <mergeCell ref="B15:F15"/>
    <mergeCell ref="B16:F16"/>
    <mergeCell ref="B9:H9"/>
    <mergeCell ref="B3:H4"/>
    <mergeCell ref="B8:H8"/>
    <mergeCell ref="B11:F11"/>
    <mergeCell ref="B10:F10"/>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254</v>
      </c>
      <c r="C3" s="124"/>
      <c r="D3" s="124"/>
      <c r="E3" s="124"/>
      <c r="F3" s="124"/>
      <c r="G3" s="1"/>
    </row>
    <row r="4" spans="1:7" ht="1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21" t="s">
        <v>100</v>
      </c>
      <c r="C10" s="122"/>
      <c r="D10" s="123"/>
      <c r="E10" s="7">
        <v>0</v>
      </c>
      <c r="F10" s="8" t="s">
        <v>3</v>
      </c>
      <c r="G10" s="1"/>
    </row>
    <row r="11" spans="1:7" x14ac:dyDescent="0.25">
      <c r="A11" s="1"/>
      <c r="B11" s="136" t="s">
        <v>209</v>
      </c>
      <c r="C11" s="137"/>
      <c r="D11" s="138"/>
      <c r="E11" s="7">
        <v>0</v>
      </c>
      <c r="F11" s="8" t="s">
        <v>3</v>
      </c>
      <c r="G11" s="1"/>
    </row>
    <row r="12" spans="1:7" x14ac:dyDescent="0.25">
      <c r="A12" s="1"/>
      <c r="B12" s="134" t="s">
        <v>101</v>
      </c>
      <c r="C12" s="135"/>
      <c r="D12" s="154"/>
      <c r="E12" s="10">
        <f>E11-E10</f>
        <v>0</v>
      </c>
      <c r="F12" s="11" t="s">
        <v>3</v>
      </c>
      <c r="G12" s="1"/>
    </row>
    <row r="13" spans="1:7" x14ac:dyDescent="0.25">
      <c r="A13" s="1"/>
      <c r="B13" s="131" t="s">
        <v>94</v>
      </c>
      <c r="C13" s="132"/>
      <c r="D13" s="132"/>
      <c r="E13" s="132"/>
      <c r="F13" s="133"/>
      <c r="G13" s="1"/>
    </row>
    <row r="14" spans="1:7" x14ac:dyDescent="0.25">
      <c r="A14" s="1"/>
      <c r="B14" s="136" t="s">
        <v>210</v>
      </c>
      <c r="C14" s="137"/>
      <c r="D14" s="138"/>
      <c r="E14" s="9">
        <v>0</v>
      </c>
      <c r="F14" s="8" t="s">
        <v>3</v>
      </c>
      <c r="G14" s="1"/>
    </row>
    <row r="15" spans="1:7" x14ac:dyDescent="0.25">
      <c r="A15" s="1"/>
      <c r="B15" s="121" t="s">
        <v>211</v>
      </c>
      <c r="C15" s="122"/>
      <c r="D15" s="123"/>
      <c r="E15" s="9">
        <v>0</v>
      </c>
      <c r="F15" s="8" t="s">
        <v>3</v>
      </c>
      <c r="G15" s="1"/>
    </row>
    <row r="16" spans="1:7" x14ac:dyDescent="0.25">
      <c r="A16" s="1"/>
      <c r="B16" s="134" t="s">
        <v>101</v>
      </c>
      <c r="C16" s="135"/>
      <c r="D16" s="154"/>
      <c r="E16" s="10">
        <f>E15-E14</f>
        <v>0</v>
      </c>
      <c r="F16" s="11" t="s">
        <v>3</v>
      </c>
      <c r="G16" s="1"/>
    </row>
    <row r="17" spans="1:7" x14ac:dyDescent="0.25">
      <c r="A17" s="1"/>
      <c r="B17" s="31" t="s">
        <v>212</v>
      </c>
      <c r="C17" s="26"/>
      <c r="D17" s="26"/>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kVsPvOjxNQjTogLvJEt9pNy1fyRVBrAgHkCfXUcF6s1AQRTYE+HC3/WPvjFSqN6z3VKmnI24HfArvRrkMwIaNw==" saltValue="EFb7d+KLqesv5HVfkO41t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255</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54" t="s">
        <v>0</v>
      </c>
      <c r="C9" s="54" t="s">
        <v>1</v>
      </c>
      <c r="D9" s="161" t="s">
        <v>245</v>
      </c>
      <c r="E9" s="162"/>
      <c r="F9" s="161" t="s">
        <v>2</v>
      </c>
      <c r="G9" s="162"/>
      <c r="H9" s="161" t="s">
        <v>244</v>
      </c>
      <c r="I9" s="162"/>
      <c r="J9" s="161" t="s">
        <v>30</v>
      </c>
      <c r="K9" s="162"/>
      <c r="L9" s="1"/>
    </row>
    <row r="10" spans="1:12" x14ac:dyDescent="0.25">
      <c r="A10" s="1"/>
      <c r="B10" s="97" t="s">
        <v>272</v>
      </c>
      <c r="C10" s="40">
        <v>0</v>
      </c>
      <c r="D10" s="9">
        <v>0</v>
      </c>
      <c r="E10" s="14" t="s">
        <v>3</v>
      </c>
      <c r="F10" s="9">
        <f>IFERROR(D10/C10,0)</f>
        <v>0</v>
      </c>
      <c r="G10" s="14" t="s">
        <v>3</v>
      </c>
      <c r="H10" s="43">
        <v>0</v>
      </c>
      <c r="I10" s="14" t="s">
        <v>3</v>
      </c>
      <c r="J10" s="43">
        <v>0</v>
      </c>
      <c r="K10" s="14" t="s">
        <v>3</v>
      </c>
      <c r="L10" s="1"/>
    </row>
    <row r="11" spans="1:12" x14ac:dyDescent="0.25">
      <c r="A11" s="1"/>
      <c r="B11" s="86" t="s">
        <v>220</v>
      </c>
      <c r="C11" s="87"/>
      <c r="D11" s="88"/>
      <c r="E11" s="88"/>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mEHUmX3PXzlue5maJxAsO/48lp7UfFdih6LbnloRbB1h++gueHSONf218CpVhZ8tIyDgkIb6Oxfd3KxiCsPC2w==" saltValue="xtF6BEzP0bxE+Fj4LM4xL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256</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1" t="s">
        <v>80</v>
      </c>
      <c r="C8" s="26"/>
      <c r="D8" s="26"/>
      <c r="E8" s="26"/>
      <c r="F8" s="18"/>
      <c r="G8" s="1"/>
    </row>
    <row r="9" spans="1:7" ht="17.25" customHeight="1" x14ac:dyDescent="0.25">
      <c r="A9" s="1"/>
      <c r="B9" s="84" t="s">
        <v>17</v>
      </c>
      <c r="C9" s="84" t="s">
        <v>11</v>
      </c>
      <c r="D9" s="85"/>
      <c r="E9" s="84" t="s">
        <v>31</v>
      </c>
      <c r="F9" s="30"/>
      <c r="G9" s="1"/>
    </row>
    <row r="10" spans="1:7" x14ac:dyDescent="0.25">
      <c r="A10" s="1"/>
      <c r="B10" s="22" t="s">
        <v>226</v>
      </c>
      <c r="C10" s="20">
        <f>'Fane 10. Anlægsprojekter (§ 19)'!H11</f>
        <v>0</v>
      </c>
      <c r="D10" s="14" t="s">
        <v>3</v>
      </c>
      <c r="E10" s="9">
        <f>SUM('Fane 10. Anlægsprojekter (§ 19)'!F11,'Fane 10. Anlægsprojekter (§ 19)'!J11)</f>
        <v>0</v>
      </c>
      <c r="F10" s="14" t="s">
        <v>3</v>
      </c>
      <c r="G10" s="1"/>
    </row>
    <row r="11" spans="1:7" x14ac:dyDescent="0.25">
      <c r="A11" s="1"/>
      <c r="B11" s="22" t="s">
        <v>270</v>
      </c>
      <c r="C11" s="20">
        <v>0</v>
      </c>
      <c r="D11" s="14" t="s">
        <v>3</v>
      </c>
      <c r="E11" s="9">
        <v>0</v>
      </c>
      <c r="F11" s="14" t="s">
        <v>3</v>
      </c>
      <c r="G11" s="1"/>
    </row>
    <row r="12" spans="1:7" x14ac:dyDescent="0.25">
      <c r="A12" s="1"/>
      <c r="B12" s="31" t="s">
        <v>156</v>
      </c>
      <c r="C12" s="12">
        <f>SUM(C10:C11)</f>
        <v>0</v>
      </c>
      <c r="D12" s="13" t="s">
        <v>3</v>
      </c>
      <c r="E12" s="12">
        <f>SUM(E10:E11)</f>
        <v>0</v>
      </c>
      <c r="F12" s="13" t="s">
        <v>3</v>
      </c>
      <c r="G12" s="1"/>
    </row>
    <row r="13" spans="1:7" x14ac:dyDescent="0.25">
      <c r="A13" s="1"/>
      <c r="B13" s="31" t="s">
        <v>213</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imqpqKgq8jS3Kzc6z8Rgal+rWLbSM0QC9BJqm7MypjBFpfD819NKujFKutSoCgxBSoO5b4DizRoaNybm9oXm7Q==" saltValue="Y+n+1bMph9Q3c6tlSMpXo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4" t="s">
        <v>17</v>
      </c>
      <c r="C9" s="84" t="s">
        <v>11</v>
      </c>
      <c r="D9" s="85"/>
      <c r="E9" s="84" t="s">
        <v>31</v>
      </c>
      <c r="F9" s="30"/>
      <c r="G9" s="1"/>
    </row>
    <row r="10" spans="1:7" x14ac:dyDescent="0.25">
      <c r="A10" s="1"/>
      <c r="B10" s="22" t="s">
        <v>271</v>
      </c>
      <c r="C10" s="20">
        <v>0</v>
      </c>
      <c r="D10" s="14" t="s">
        <v>3</v>
      </c>
      <c r="E10" s="9">
        <v>0</v>
      </c>
      <c r="F10" s="14" t="s">
        <v>3</v>
      </c>
      <c r="G10" s="1"/>
    </row>
    <row r="11" spans="1:7" x14ac:dyDescent="0.25">
      <c r="A11" s="1"/>
      <c r="B11" s="31" t="s">
        <v>232</v>
      </c>
      <c r="C11" s="12">
        <f>SUM(C10:C10)</f>
        <v>0</v>
      </c>
      <c r="D11" s="13" t="s">
        <v>3</v>
      </c>
      <c r="E11" s="12">
        <f>SUM(E10:E10)</f>
        <v>0</v>
      </c>
      <c r="F11" s="13" t="s">
        <v>3</v>
      </c>
      <c r="G11" s="1"/>
    </row>
    <row r="12" spans="1:7" x14ac:dyDescent="0.25">
      <c r="A12" s="1"/>
      <c r="B12" s="31"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3"/>
      <c r="C14" s="163"/>
      <c r="D14" s="163"/>
      <c r="E14" s="163"/>
      <c r="F14" s="163"/>
      <c r="G14" s="1"/>
    </row>
    <row r="15" spans="1:7" x14ac:dyDescent="0.25">
      <c r="A15" s="1"/>
      <c r="B15" s="56"/>
      <c r="C15" s="56"/>
      <c r="D15" s="56"/>
      <c r="E15" s="56"/>
      <c r="F15" s="57"/>
      <c r="G15" s="1"/>
    </row>
    <row r="16" spans="1:7" x14ac:dyDescent="0.25">
      <c r="A16" s="1"/>
      <c r="B16" s="58"/>
      <c r="C16" s="59"/>
      <c r="D16" s="60"/>
      <c r="E16" s="61"/>
      <c r="F16" s="60"/>
      <c r="G16" s="1"/>
    </row>
    <row r="17" spans="1:7" x14ac:dyDescent="0.25">
      <c r="A17" s="1"/>
      <c r="B17" s="58"/>
      <c r="C17" s="59"/>
      <c r="D17" s="60"/>
      <c r="E17" s="61"/>
      <c r="F17" s="60"/>
      <c r="G17" s="1"/>
    </row>
    <row r="18" spans="1:7" x14ac:dyDescent="0.25">
      <c r="A18" s="1"/>
      <c r="B18" s="62"/>
      <c r="C18" s="63"/>
      <c r="D18" s="64"/>
      <c r="E18" s="63"/>
      <c r="F18" s="64"/>
      <c r="G18" s="1"/>
    </row>
    <row r="19" spans="1:7" x14ac:dyDescent="0.25">
      <c r="A19" s="1"/>
      <c r="B19" s="62"/>
      <c r="C19" s="63"/>
      <c r="D19" s="64"/>
      <c r="E19" s="63"/>
      <c r="F19" s="64"/>
      <c r="G19" s="1"/>
    </row>
    <row r="20" spans="1:7" x14ac:dyDescent="0.25">
      <c r="A20" s="1"/>
      <c r="B20" s="55"/>
      <c r="C20" s="55"/>
      <c r="D20" s="55"/>
      <c r="E20" s="55"/>
      <c r="F20" s="55"/>
      <c r="G20" s="1"/>
    </row>
    <row r="21" spans="1:7" x14ac:dyDescent="0.25">
      <c r="A21" s="1"/>
      <c r="B21" s="163"/>
      <c r="C21" s="163"/>
      <c r="D21" s="163"/>
      <c r="E21" s="163"/>
      <c r="F21" s="163"/>
      <c r="G21" s="1"/>
    </row>
    <row r="22" spans="1:7" x14ac:dyDescent="0.25">
      <c r="A22" s="1"/>
      <c r="B22" s="56"/>
      <c r="C22" s="56"/>
      <c r="D22" s="56"/>
      <c r="E22" s="56"/>
      <c r="F22" s="57"/>
      <c r="G22" s="1"/>
    </row>
    <row r="23" spans="1:7" x14ac:dyDescent="0.25">
      <c r="A23" s="1"/>
      <c r="B23" s="58"/>
      <c r="C23" s="59"/>
      <c r="D23" s="60"/>
      <c r="E23" s="61"/>
      <c r="F23" s="60"/>
      <c r="G23" s="1"/>
    </row>
    <row r="24" spans="1:7" x14ac:dyDescent="0.25">
      <c r="A24" s="1"/>
      <c r="B24" s="58"/>
      <c r="C24" s="59"/>
      <c r="D24" s="60"/>
      <c r="E24" s="61"/>
      <c r="F24" s="60"/>
      <c r="G24" s="1"/>
    </row>
    <row r="25" spans="1:7" x14ac:dyDescent="0.25">
      <c r="A25" s="1"/>
      <c r="B25" s="62"/>
      <c r="C25" s="63"/>
      <c r="D25" s="64"/>
      <c r="E25" s="63"/>
      <c r="F25" s="64"/>
      <c r="G25" s="1"/>
    </row>
    <row r="26" spans="1:7" x14ac:dyDescent="0.25">
      <c r="A26" s="1"/>
      <c r="B26" s="62"/>
      <c r="C26" s="63"/>
      <c r="D26" s="64"/>
      <c r="E26" s="63"/>
      <c r="F26" s="64"/>
      <c r="G26" s="1"/>
    </row>
    <row r="27" spans="1:7" x14ac:dyDescent="0.25">
      <c r="A27" s="1"/>
      <c r="B27" s="55"/>
      <c r="C27" s="55"/>
      <c r="D27" s="55"/>
      <c r="E27" s="55"/>
      <c r="F27" s="55"/>
      <c r="G27" s="1"/>
    </row>
    <row r="28" spans="1:7" x14ac:dyDescent="0.25">
      <c r="A28" s="1"/>
      <c r="B28" s="163"/>
      <c r="C28" s="163"/>
      <c r="D28" s="163"/>
      <c r="E28" s="163"/>
      <c r="F28" s="163"/>
      <c r="G28" s="1"/>
    </row>
    <row r="29" spans="1:7" x14ac:dyDescent="0.25">
      <c r="A29" s="1"/>
      <c r="B29" s="56"/>
      <c r="C29" s="56"/>
      <c r="D29" s="56"/>
      <c r="E29" s="56"/>
      <c r="F29" s="57"/>
      <c r="G29" s="1"/>
    </row>
    <row r="30" spans="1:7" x14ac:dyDescent="0.25">
      <c r="A30" s="1"/>
      <c r="B30" s="58"/>
      <c r="C30" s="59"/>
      <c r="D30" s="60"/>
      <c r="E30" s="61"/>
      <c r="F30" s="60"/>
      <c r="G30" s="1"/>
    </row>
    <row r="31" spans="1:7" x14ac:dyDescent="0.25">
      <c r="A31" s="1"/>
      <c r="B31" s="58"/>
      <c r="C31" s="59"/>
      <c r="D31" s="60"/>
      <c r="E31" s="61"/>
      <c r="F31" s="60"/>
      <c r="G31" s="1"/>
    </row>
    <row r="32" spans="1:7" x14ac:dyDescent="0.25">
      <c r="A32" s="1"/>
      <c r="B32" s="62"/>
      <c r="C32" s="63"/>
      <c r="D32" s="64"/>
      <c r="E32" s="63"/>
      <c r="F32" s="64"/>
      <c r="G32" s="1"/>
    </row>
    <row r="33" spans="1:7" x14ac:dyDescent="0.25">
      <c r="A33" s="1"/>
      <c r="B33" s="62"/>
      <c r="C33" s="63"/>
      <c r="D33" s="64"/>
      <c r="E33" s="63"/>
      <c r="F33" s="64"/>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fPaDPt2V1wdnfiiEVqRZjhHl6dIBgayyR80HB79Kq/AhK6miwTx+vmdZRsu21OgZjbEshhfq5loSnfuaHV9o4A==" saltValue="01lq6s17QoCCwVDkYzuHwQ=="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258</v>
      </c>
      <c r="C3" s="124"/>
      <c r="D3" s="124"/>
      <c r="E3" s="124"/>
      <c r="F3" s="124"/>
      <c r="G3" s="1"/>
    </row>
    <row r="4" spans="1:7" ht="15" customHeight="1" x14ac:dyDescent="0.25">
      <c r="A4" s="1"/>
      <c r="B4" s="124"/>
      <c r="C4" s="124"/>
      <c r="D4" s="124"/>
      <c r="E4" s="124"/>
      <c r="F4" s="124"/>
      <c r="G4" s="1"/>
    </row>
    <row r="5" spans="1:7" x14ac:dyDescent="0.25">
      <c r="A5" s="1"/>
      <c r="B5" s="124"/>
      <c r="C5" s="124"/>
      <c r="D5" s="124"/>
      <c r="E5" s="124"/>
      <c r="F5" s="12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58" t="s">
        <v>224</v>
      </c>
      <c r="C10" s="159"/>
      <c r="D10" s="160"/>
      <c r="E10" s="9">
        <v>0</v>
      </c>
      <c r="F10" s="14" t="s">
        <v>3</v>
      </c>
      <c r="G10" s="1"/>
    </row>
    <row r="11" spans="1:7" x14ac:dyDescent="0.25">
      <c r="A11" s="1"/>
      <c r="B11" s="125" t="s">
        <v>10</v>
      </c>
      <c r="C11" s="126"/>
      <c r="D11" s="127"/>
      <c r="E11" s="9">
        <f>-E10*'Fane 5. Individuelt eff. krav'!G9</f>
        <v>0</v>
      </c>
      <c r="F11" s="14" t="s">
        <v>3</v>
      </c>
      <c r="G11" s="1"/>
    </row>
    <row r="12" spans="1:7" x14ac:dyDescent="0.25">
      <c r="A12" s="1"/>
      <c r="B12" s="125" t="s">
        <v>24</v>
      </c>
      <c r="C12" s="126"/>
      <c r="D12" s="127"/>
      <c r="E12" s="9">
        <f>-E10*'Fane 15. Nøgletal'!C31</f>
        <v>0</v>
      </c>
      <c r="F12" s="14" t="s">
        <v>3</v>
      </c>
      <c r="G12" s="1"/>
    </row>
    <row r="13" spans="1:7" x14ac:dyDescent="0.25">
      <c r="A13" s="1"/>
      <c r="B13" s="131" t="s">
        <v>92</v>
      </c>
      <c r="C13" s="132"/>
      <c r="D13" s="133"/>
      <c r="E13" s="12">
        <f>SUM(E10:E12)*(1+'Fane 15. Nøgletal'!C15)^2</f>
        <v>0</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58" t="s">
        <v>224</v>
      </c>
      <c r="C16" s="159"/>
      <c r="D16" s="160"/>
      <c r="E16" s="9">
        <v>0</v>
      </c>
      <c r="F16" s="14" t="s">
        <v>3</v>
      </c>
      <c r="G16" s="1"/>
    </row>
    <row r="17" spans="1:7" x14ac:dyDescent="0.25">
      <c r="A17" s="1"/>
      <c r="B17" s="125" t="s">
        <v>10</v>
      </c>
      <c r="C17" s="126"/>
      <c r="D17" s="127"/>
      <c r="E17" s="9">
        <f>-E16*'Fane 5. Individuelt eff. krav'!G9</f>
        <v>0</v>
      </c>
      <c r="F17" s="14" t="s">
        <v>3</v>
      </c>
      <c r="G17" s="1"/>
    </row>
    <row r="18" spans="1:7" x14ac:dyDescent="0.25">
      <c r="A18" s="1"/>
      <c r="B18" s="125" t="s">
        <v>24</v>
      </c>
      <c r="C18" s="126"/>
      <c r="D18" s="127"/>
      <c r="E18" s="9">
        <f>-E16*'Fane 15. Nøgletal'!C31</f>
        <v>0</v>
      </c>
      <c r="F18" s="14" t="s">
        <v>3</v>
      </c>
      <c r="G18" s="1"/>
    </row>
    <row r="19" spans="1:7" x14ac:dyDescent="0.25">
      <c r="A19" s="1"/>
      <c r="B19" s="131" t="s">
        <v>131</v>
      </c>
      <c r="C19" s="132"/>
      <c r="D19" s="133"/>
      <c r="E19" s="12">
        <f>SUM(E16:E18)*(1+'Fane 15. Nøgletal'!C15)^3</f>
        <v>0</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58" t="s">
        <v>224</v>
      </c>
      <c r="C22" s="159"/>
      <c r="D22" s="160"/>
      <c r="E22" s="9">
        <v>0</v>
      </c>
      <c r="F22" s="14" t="s">
        <v>3</v>
      </c>
      <c r="G22" s="1"/>
    </row>
    <row r="23" spans="1:7" x14ac:dyDescent="0.25">
      <c r="A23" s="1"/>
      <c r="B23" s="125" t="s">
        <v>10</v>
      </c>
      <c r="C23" s="126"/>
      <c r="D23" s="127"/>
      <c r="E23" s="9">
        <f>-E22*'Fane 5. Individuelt eff. krav'!G9</f>
        <v>0</v>
      </c>
      <c r="F23" s="14" t="s">
        <v>3</v>
      </c>
      <c r="G23" s="1"/>
    </row>
    <row r="24" spans="1:7" x14ac:dyDescent="0.25">
      <c r="A24" s="1"/>
      <c r="B24" s="125" t="s">
        <v>24</v>
      </c>
      <c r="C24" s="126"/>
      <c r="D24" s="127"/>
      <c r="E24" s="9">
        <f>-E22*'Fane 15. Nøgletal'!C31</f>
        <v>0</v>
      </c>
      <c r="F24" s="14" t="s">
        <v>3</v>
      </c>
      <c r="G24" s="1"/>
    </row>
    <row r="25" spans="1:7" x14ac:dyDescent="0.25">
      <c r="A25" s="1"/>
      <c r="B25" s="131" t="s">
        <v>158</v>
      </c>
      <c r="C25" s="132"/>
      <c r="D25" s="133"/>
      <c r="E25" s="12">
        <f>SUM(E22:E24)*(1+'Fane 15. Nøgletal'!C15)^4</f>
        <v>0</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58" t="s">
        <v>224</v>
      </c>
      <c r="C28" s="159"/>
      <c r="D28" s="160"/>
      <c r="E28" s="9">
        <v>0</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0</v>
      </c>
      <c r="F30" s="14" t="s">
        <v>3</v>
      </c>
      <c r="G30" s="1"/>
    </row>
    <row r="31" spans="1:7" x14ac:dyDescent="0.25">
      <c r="A31" s="1"/>
      <c r="B31" s="131" t="s">
        <v>215</v>
      </c>
      <c r="C31" s="132"/>
      <c r="D31" s="13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9Ud3hQ9VdCnPricbje3udq8g1byoEgwaszH9jkzGkl1cqgM2EmCTuUCLpjhv6Sf0q0qV5wM0udow2ZZm3+bQnw==" saltValue="nT5yWVSQQMOg58fjEGl35g=="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259</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29" t="s">
        <v>133</v>
      </c>
      <c r="C9" s="29" t="s">
        <v>11</v>
      </c>
      <c r="D9" s="30"/>
      <c r="E9" s="29" t="s">
        <v>31</v>
      </c>
      <c r="F9" s="30"/>
      <c r="G9" s="1"/>
    </row>
    <row r="10" spans="1:7" x14ac:dyDescent="0.25">
      <c r="A10" s="1"/>
      <c r="B10" s="22" t="s">
        <v>273</v>
      </c>
      <c r="C10" s="9">
        <v>0</v>
      </c>
      <c r="D10" s="14" t="s">
        <v>3</v>
      </c>
      <c r="E10" s="9">
        <v>0</v>
      </c>
      <c r="F10" s="14" t="s">
        <v>3</v>
      </c>
      <c r="G10" s="1"/>
    </row>
    <row r="11" spans="1:7" ht="28.5" customHeight="1" x14ac:dyDescent="0.25">
      <c r="A11" s="1"/>
      <c r="B11" s="19" t="s">
        <v>159</v>
      </c>
      <c r="C11" s="12">
        <f>SUM(C10:C10)</f>
        <v>0</v>
      </c>
      <c r="D11" s="13" t="s">
        <v>3</v>
      </c>
      <c r="E11" s="12">
        <f>SUM(E10:E10)</f>
        <v>0</v>
      </c>
      <c r="F11" s="13" t="s">
        <v>3</v>
      </c>
      <c r="G11" s="1"/>
    </row>
    <row r="12" spans="1:7" ht="27" customHeight="1" x14ac:dyDescent="0.25">
      <c r="A12" s="1"/>
      <c r="B12" s="19"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hY855VQX2+p6WnxD/H9EQ1RlgSNxpCBYK82kU0nKJQwIAimViVZUaCKk0AwCmcsa/VIdCkNk/kUQ+y32WiZ99g==" saltValue="iqe5K9E7CPinJhKm3dvvc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260</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29" t="s">
        <v>18</v>
      </c>
      <c r="C10" s="29" t="s">
        <v>11</v>
      </c>
      <c r="D10" s="30"/>
      <c r="E10" s="29" t="s">
        <v>31</v>
      </c>
      <c r="F10" s="30"/>
      <c r="G10" s="1"/>
    </row>
    <row r="11" spans="1:7" x14ac:dyDescent="0.25">
      <c r="A11" s="1"/>
      <c r="B11" s="22" t="s">
        <v>177</v>
      </c>
      <c r="C11" s="9">
        <v>0</v>
      </c>
      <c r="D11" s="14" t="s">
        <v>3</v>
      </c>
      <c r="E11" s="9">
        <v>0</v>
      </c>
      <c r="F11" s="14" t="s">
        <v>3</v>
      </c>
      <c r="G11" s="1"/>
    </row>
    <row r="12" spans="1:7" x14ac:dyDescent="0.25">
      <c r="A12" s="1"/>
      <c r="B12" s="31" t="s">
        <v>234</v>
      </c>
      <c r="C12" s="12">
        <f>SUM(C11:C11)</f>
        <v>0</v>
      </c>
      <c r="D12" s="13" t="s">
        <v>3</v>
      </c>
      <c r="E12" s="12">
        <f>SUM(E11:E11)</f>
        <v>0</v>
      </c>
      <c r="F12" s="13" t="s">
        <v>3</v>
      </c>
      <c r="G12" s="1"/>
    </row>
    <row r="13" spans="1:7" x14ac:dyDescent="0.25">
      <c r="A13" s="1"/>
      <c r="B13" s="31"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3"/>
      <c r="C15" s="163"/>
      <c r="D15" s="163"/>
      <c r="E15" s="163"/>
      <c r="F15" s="163"/>
      <c r="G15" s="1"/>
    </row>
    <row r="16" spans="1:7" x14ac:dyDescent="0.25">
      <c r="A16" s="1"/>
      <c r="B16" s="57"/>
      <c r="C16" s="57"/>
      <c r="D16" s="57"/>
      <c r="E16" s="57"/>
      <c r="F16" s="57"/>
      <c r="G16" s="1"/>
    </row>
    <row r="17" spans="1:7" x14ac:dyDescent="0.25">
      <c r="A17" s="1"/>
      <c r="B17" s="58"/>
      <c r="C17" s="61"/>
      <c r="D17" s="60"/>
      <c r="E17" s="61"/>
      <c r="F17" s="60"/>
      <c r="G17" s="1"/>
    </row>
    <row r="18" spans="1:7" x14ac:dyDescent="0.25">
      <c r="A18" s="1"/>
      <c r="B18" s="62"/>
      <c r="C18" s="63"/>
      <c r="D18" s="64"/>
      <c r="E18" s="63"/>
      <c r="F18" s="64"/>
      <c r="G18" s="1"/>
    </row>
    <row r="19" spans="1:7" x14ac:dyDescent="0.25">
      <c r="A19" s="1"/>
      <c r="B19" s="62"/>
      <c r="C19" s="63"/>
      <c r="D19" s="64"/>
      <c r="E19" s="63"/>
      <c r="F19" s="64"/>
      <c r="G19" s="1"/>
    </row>
    <row r="20" spans="1:7" x14ac:dyDescent="0.25">
      <c r="A20" s="1"/>
      <c r="B20" s="55"/>
      <c r="C20" s="55"/>
      <c r="D20" s="55"/>
      <c r="E20" s="55"/>
      <c r="F20" s="55"/>
      <c r="G20" s="1"/>
    </row>
    <row r="21" spans="1:7" x14ac:dyDescent="0.25">
      <c r="A21" s="1"/>
      <c r="B21" s="163"/>
      <c r="C21" s="163"/>
      <c r="D21" s="163"/>
      <c r="E21" s="163"/>
      <c r="F21" s="163"/>
      <c r="G21" s="1"/>
    </row>
    <row r="22" spans="1:7" x14ac:dyDescent="0.25">
      <c r="A22" s="1"/>
      <c r="B22" s="57"/>
      <c r="C22" s="57"/>
      <c r="D22" s="57"/>
      <c r="E22" s="57"/>
      <c r="F22" s="57"/>
      <c r="G22" s="1"/>
    </row>
    <row r="23" spans="1:7" x14ac:dyDescent="0.25">
      <c r="A23" s="1"/>
      <c r="B23" s="58"/>
      <c r="C23" s="61"/>
      <c r="D23" s="60"/>
      <c r="E23" s="61"/>
      <c r="F23" s="60"/>
      <c r="G23" s="1"/>
    </row>
    <row r="24" spans="1:7" x14ac:dyDescent="0.25">
      <c r="A24" s="1"/>
      <c r="B24" s="62"/>
      <c r="C24" s="63"/>
      <c r="D24" s="64"/>
      <c r="E24" s="63"/>
      <c r="F24" s="64"/>
      <c r="G24" s="1"/>
    </row>
    <row r="25" spans="1:7" x14ac:dyDescent="0.25">
      <c r="A25" s="1"/>
      <c r="B25" s="62"/>
      <c r="C25" s="63"/>
      <c r="D25" s="64"/>
      <c r="E25" s="63"/>
      <c r="F25" s="64"/>
      <c r="G25" s="1"/>
    </row>
    <row r="26" spans="1:7" x14ac:dyDescent="0.25">
      <c r="A26" s="1"/>
      <c r="B26" s="55"/>
      <c r="C26" s="55"/>
      <c r="D26" s="55"/>
      <c r="E26" s="55"/>
      <c r="F26" s="55"/>
      <c r="G26" s="1"/>
    </row>
    <row r="27" spans="1:7" x14ac:dyDescent="0.25">
      <c r="A27" s="1"/>
      <c r="B27" s="163"/>
      <c r="C27" s="163"/>
      <c r="D27" s="163"/>
      <c r="E27" s="163"/>
      <c r="F27" s="163"/>
      <c r="G27" s="1"/>
    </row>
    <row r="28" spans="1:7" x14ac:dyDescent="0.25">
      <c r="A28" s="1"/>
      <c r="B28" s="57"/>
      <c r="C28" s="57"/>
      <c r="D28" s="57"/>
      <c r="E28" s="57"/>
      <c r="F28" s="57"/>
      <c r="G28" s="1"/>
    </row>
    <row r="29" spans="1:7" x14ac:dyDescent="0.25">
      <c r="A29" s="1"/>
      <c r="B29" s="58"/>
      <c r="C29" s="61"/>
      <c r="D29" s="60"/>
      <c r="E29" s="61"/>
      <c r="F29" s="60"/>
      <c r="G29" s="1"/>
    </row>
    <row r="30" spans="1:7" x14ac:dyDescent="0.25">
      <c r="A30" s="1"/>
      <c r="B30" s="62"/>
      <c r="C30" s="63"/>
      <c r="D30" s="64"/>
      <c r="E30" s="63"/>
      <c r="F30" s="64"/>
      <c r="G30" s="1"/>
    </row>
    <row r="31" spans="1:7" x14ac:dyDescent="0.25">
      <c r="A31" s="1"/>
      <c r="B31" s="62"/>
      <c r="C31" s="63"/>
      <c r="D31" s="64"/>
      <c r="E31" s="63"/>
      <c r="F31" s="64"/>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blfvKBTBpNRiTzKF9W5OIG7JjxH9qBEzkieQxsGZ5p7xCCUZOXI0W6VJclwy9Gn6+yUBKIgF1Cd7jex3HhaJyA==" saltValue="/ksvPRNp3og5HmEP6yhiX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6"/>
  <sheetViews>
    <sheetView showGridLines="0" showWhiteSpace="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1" t="s">
        <v>13</v>
      </c>
      <c r="C8" s="26"/>
      <c r="D8" s="18"/>
      <c r="E8" s="1"/>
    </row>
    <row r="9" spans="1:5" x14ac:dyDescent="0.25">
      <c r="A9" s="1"/>
      <c r="B9" s="27" t="s">
        <v>126</v>
      </c>
      <c r="C9" s="7">
        <f>'Fane 3. Omkostninger i ØR2022'!E20</f>
        <v>22148430.825595733</v>
      </c>
      <c r="D9" s="8" t="s">
        <v>3</v>
      </c>
      <c r="E9" s="1"/>
    </row>
    <row r="10" spans="1:5" ht="17.25" customHeight="1" x14ac:dyDescent="0.25">
      <c r="A10" s="1"/>
      <c r="B10" s="83" t="s">
        <v>39</v>
      </c>
      <c r="C10" s="7">
        <f>'Fane 11.1. Varige tillæg'!C13</f>
        <v>0</v>
      </c>
      <c r="D10" s="8" t="s">
        <v>3</v>
      </c>
      <c r="E10" s="1"/>
    </row>
    <row r="11" spans="1:5" ht="17.25" customHeight="1" x14ac:dyDescent="0.25">
      <c r="A11" s="1"/>
      <c r="B11" s="83" t="s">
        <v>40</v>
      </c>
      <c r="C11" s="9">
        <f>'Fane 11.1. Varige tillæg'!E13</f>
        <v>0</v>
      </c>
      <c r="D11" s="8" t="s">
        <v>3</v>
      </c>
      <c r="E11" s="1"/>
    </row>
    <row r="12" spans="1:5" ht="17.25" customHeight="1" x14ac:dyDescent="0.25">
      <c r="A12" s="1"/>
      <c r="B12" s="83" t="s">
        <v>27</v>
      </c>
      <c r="C12" s="9">
        <f>-'Fane 14. Bortfald'!C13</f>
        <v>0</v>
      </c>
      <c r="D12" s="8" t="s">
        <v>3</v>
      </c>
      <c r="E12" s="1"/>
    </row>
    <row r="13" spans="1:5" ht="17.25" customHeight="1" x14ac:dyDescent="0.25">
      <c r="A13" s="1"/>
      <c r="B13" s="83" t="s">
        <v>26</v>
      </c>
      <c r="C13" s="9">
        <f>-'Fane 14. Bortfald'!E13</f>
        <v>0</v>
      </c>
      <c r="D13" s="8" t="s">
        <v>3</v>
      </c>
      <c r="E13" s="1"/>
    </row>
    <row r="14" spans="1:5" ht="17.25" customHeight="1" x14ac:dyDescent="0.25">
      <c r="A14" s="1"/>
      <c r="B14" s="83" t="s">
        <v>124</v>
      </c>
      <c r="C14" s="9">
        <f>'Fane 13. Tilknyttet virksomhed'!C12</f>
        <v>0</v>
      </c>
      <c r="D14" s="8" t="s">
        <v>3</v>
      </c>
      <c r="E14" s="1"/>
    </row>
    <row r="15" spans="1:5" ht="17.25" customHeight="1" x14ac:dyDescent="0.25">
      <c r="A15" s="1"/>
      <c r="B15" s="83" t="s">
        <v>125</v>
      </c>
      <c r="C15" s="9">
        <f>'Fane 13. Tilknyttet virksomhed'!E12</f>
        <v>0</v>
      </c>
      <c r="D15" s="8" t="s">
        <v>3</v>
      </c>
      <c r="E15" s="1"/>
    </row>
    <row r="16" spans="1:5" ht="17.25" customHeight="1" x14ac:dyDescent="0.25">
      <c r="A16" s="1"/>
      <c r="B16" s="83" t="s">
        <v>19</v>
      </c>
      <c r="C16" s="43">
        <f>SUM(C9)*'Fane 15. Nøgletal'!C14+SUM(C10:C15)*'Fane 15. Nøgletal'!C15</f>
        <v>73089.821724465917</v>
      </c>
      <c r="D16" s="8" t="s">
        <v>3</v>
      </c>
      <c r="E16" s="1"/>
    </row>
    <row r="17" spans="1:5" ht="17.25" customHeight="1" x14ac:dyDescent="0.25">
      <c r="A17" s="1"/>
      <c r="B17" s="83" t="s">
        <v>10</v>
      </c>
      <c r="C17" s="43">
        <f>-SUM(C9,C10:C16)*'Fane 5. Individuelt eff. krav'!G9</f>
        <v>-59359.679994597456</v>
      </c>
      <c r="D17" s="8" t="s">
        <v>3</v>
      </c>
      <c r="E17" s="1"/>
    </row>
    <row r="18" spans="1:5" ht="17.25" customHeight="1" x14ac:dyDescent="0.25">
      <c r="A18" s="1"/>
      <c r="B18" s="83" t="s">
        <v>24</v>
      </c>
      <c r="C18" s="43">
        <f>-'Fane 4.1. Gen. krav - drift'!G45</f>
        <v>-258993.05205326181</v>
      </c>
      <c r="D18" s="8" t="s">
        <v>3</v>
      </c>
      <c r="E18" s="1"/>
    </row>
    <row r="19" spans="1:5" ht="17.25" customHeight="1" x14ac:dyDescent="0.25">
      <c r="A19" s="1"/>
      <c r="B19" s="83" t="s">
        <v>25</v>
      </c>
      <c r="C19" s="43">
        <f>-'Fane 4.2. Gen. krav - anlæg'!G43</f>
        <v>-141572.97325294971</v>
      </c>
      <c r="D19" s="8" t="s">
        <v>3</v>
      </c>
      <c r="E19" s="47"/>
    </row>
    <row r="20" spans="1:5" ht="17.25" customHeight="1" x14ac:dyDescent="0.25">
      <c r="A20" s="1"/>
      <c r="B20" s="89" t="s">
        <v>21</v>
      </c>
      <c r="C20" s="10">
        <f>SUM(C9:C19)</f>
        <v>21761594.942019392</v>
      </c>
      <c r="D20" s="11" t="s">
        <v>3</v>
      </c>
      <c r="E20" s="1"/>
    </row>
    <row r="21" spans="1:5" ht="15" customHeight="1" x14ac:dyDescent="0.25">
      <c r="A21" s="1"/>
      <c r="B21" s="31" t="s">
        <v>12</v>
      </c>
      <c r="C21" s="26"/>
      <c r="D21" s="18"/>
      <c r="E21" s="1"/>
    </row>
    <row r="22" spans="1:5" ht="15" customHeight="1" x14ac:dyDescent="0.25">
      <c r="A22" s="1"/>
      <c r="B22" s="29" t="s">
        <v>12</v>
      </c>
      <c r="C22" s="10">
        <f>'Fane 6. Ikke-påvirkelige omk.'!C15+'Fane 6. Ikke-påvirkelige omk.'!C19+'Fane 6. Ikke-påvirkelige omk.'!C27</f>
        <v>1307058.8703264</v>
      </c>
      <c r="D22" s="11" t="s">
        <v>3</v>
      </c>
      <c r="E22" s="1"/>
    </row>
    <row r="23" spans="1:5" ht="15" customHeight="1" x14ac:dyDescent="0.25">
      <c r="A23" s="1"/>
      <c r="B23" s="31" t="s">
        <v>86</v>
      </c>
      <c r="C23" s="26"/>
      <c r="D23" s="18"/>
      <c r="E23" s="1"/>
    </row>
    <row r="24" spans="1:5" ht="15" customHeight="1" x14ac:dyDescent="0.25">
      <c r="A24" s="1"/>
      <c r="B24" s="89" t="s">
        <v>86</v>
      </c>
      <c r="C24" s="10">
        <f>'Fane 12. Periodevise driftsomk.'!E13</f>
        <v>0</v>
      </c>
      <c r="D24" s="11" t="s">
        <v>3</v>
      </c>
      <c r="E24" s="1"/>
    </row>
    <row r="25" spans="1:5" ht="15" customHeight="1" x14ac:dyDescent="0.25">
      <c r="A25" s="1"/>
      <c r="B25" s="46" t="s">
        <v>85</v>
      </c>
      <c r="C25" s="44"/>
      <c r="D25" s="45"/>
      <c r="E25" s="1"/>
    </row>
    <row r="26" spans="1:5" ht="15" customHeight="1" x14ac:dyDescent="0.25">
      <c r="A26" s="1"/>
      <c r="B26" s="83" t="s">
        <v>231</v>
      </c>
      <c r="C26" s="74">
        <f>'Fane 11.2. Engangstillæg'!C12</f>
        <v>0</v>
      </c>
      <c r="D26" s="8" t="s">
        <v>3</v>
      </c>
      <c r="E26" s="1"/>
    </row>
    <row r="27" spans="1:5" ht="15" customHeight="1" x14ac:dyDescent="0.25">
      <c r="A27" s="1"/>
      <c r="B27" s="83" t="s">
        <v>82</v>
      </c>
      <c r="C27" s="74">
        <f>'Fane 11.2. Engangstillæg'!E12</f>
        <v>0</v>
      </c>
      <c r="D27" s="8" t="s">
        <v>3</v>
      </c>
      <c r="E27" s="1"/>
    </row>
    <row r="28" spans="1:5" ht="15" customHeight="1" x14ac:dyDescent="0.25">
      <c r="A28" s="1"/>
      <c r="B28" s="83" t="s">
        <v>238</v>
      </c>
      <c r="C28" s="74">
        <f>-C26*('Fane 15. Nøgletal'!C31+'Fane 5. Individuelt eff. krav'!G9)</f>
        <v>0</v>
      </c>
      <c r="D28" s="8" t="s">
        <v>3</v>
      </c>
      <c r="E28" s="1"/>
    </row>
    <row r="29" spans="1:5" ht="15" customHeight="1" x14ac:dyDescent="0.25">
      <c r="A29" s="1"/>
      <c r="B29" s="83" t="s">
        <v>239</v>
      </c>
      <c r="C29" s="74">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1" t="s">
        <v>143</v>
      </c>
      <c r="C31" s="26"/>
      <c r="D31" s="18"/>
      <c r="E31" s="1"/>
    </row>
    <row r="32" spans="1:5" x14ac:dyDescent="0.25">
      <c r="A32" s="1"/>
      <c r="B32" s="29" t="s">
        <v>180</v>
      </c>
      <c r="C32" s="10">
        <f>'Fane 7. Kontrol af ØR2021'!E28</f>
        <v>-603133.67691948637</v>
      </c>
      <c r="D32" s="11" t="s">
        <v>3</v>
      </c>
      <c r="E32" s="1"/>
    </row>
    <row r="33" spans="1:5" ht="15" customHeight="1" x14ac:dyDescent="0.25">
      <c r="A33" s="1"/>
      <c r="B33" s="31" t="s">
        <v>185</v>
      </c>
      <c r="C33" s="26"/>
      <c r="D33" s="18"/>
      <c r="E33" s="1"/>
    </row>
    <row r="34" spans="1:5" x14ac:dyDescent="0.25">
      <c r="A34" s="1"/>
      <c r="B34" s="29" t="s">
        <v>185</v>
      </c>
      <c r="C34" s="10">
        <f>'Fane 9. Korrektion af ØR2021'!E17</f>
        <v>0</v>
      </c>
      <c r="D34" s="11" t="s">
        <v>3</v>
      </c>
      <c r="E34" s="1"/>
    </row>
    <row r="35" spans="1:5" x14ac:dyDescent="0.25">
      <c r="A35" s="1"/>
      <c r="B35" s="28" t="s">
        <v>175</v>
      </c>
      <c r="C35" s="26"/>
      <c r="D35" s="18"/>
      <c r="E35" s="1"/>
    </row>
    <row r="36" spans="1:5" x14ac:dyDescent="0.25">
      <c r="A36" s="1"/>
      <c r="B36" s="95" t="s">
        <v>176</v>
      </c>
      <c r="C36" s="10">
        <f>'Fane 8. Skattesagen'!G12</f>
        <v>0</v>
      </c>
      <c r="D36" s="11" t="s">
        <v>3</v>
      </c>
      <c r="E36" s="1"/>
    </row>
    <row r="37" spans="1:5" x14ac:dyDescent="0.25">
      <c r="A37" s="1"/>
      <c r="B37" s="31" t="s">
        <v>90</v>
      </c>
      <c r="C37" s="53">
        <f>SUM(C34,C32,C24,C30,C22,C20,C36)</f>
        <v>22465520.135426305</v>
      </c>
      <c r="D37" s="28"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sheetData>
  <sheetProtection algorithmName="SHA-512" hashValue="Yd0ydnYZYkyKeFXPX6qigpXxylQhj1DXS6UpxH1p8heMOYIRIefS+L2UD0csYIyKdNCQigmteVEQ6ABmWMGYEA==" saltValue="3RoKT08LKWlZEZMqiRoAr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4" t="s">
        <v>261</v>
      </c>
      <c r="C3" s="124"/>
      <c r="D3" s="1"/>
    </row>
    <row r="4" spans="1:4" ht="25.5" customHeight="1" x14ac:dyDescent="0.25">
      <c r="A4" s="1"/>
      <c r="B4" s="124"/>
      <c r="C4" s="12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1" t="s">
        <v>14</v>
      </c>
      <c r="C8" s="18"/>
      <c r="D8" s="1"/>
    </row>
    <row r="9" spans="1:4" x14ac:dyDescent="0.25">
      <c r="A9" s="1"/>
      <c r="B9" s="94" t="s">
        <v>112</v>
      </c>
      <c r="C9" s="23">
        <v>1.2699999999999999E-2</v>
      </c>
      <c r="D9" s="1"/>
    </row>
    <row r="10" spans="1:4" x14ac:dyDescent="0.25">
      <c r="A10" s="1"/>
      <c r="B10" s="94" t="s">
        <v>113</v>
      </c>
      <c r="C10" s="23">
        <v>1.7500000000000002E-2</v>
      </c>
      <c r="D10" s="1"/>
    </row>
    <row r="11" spans="1:4" x14ac:dyDescent="0.25">
      <c r="A11" s="1"/>
      <c r="B11" s="94" t="s">
        <v>23</v>
      </c>
      <c r="C11" s="23">
        <v>1.6899999999999998E-2</v>
      </c>
      <c r="D11" s="1"/>
    </row>
    <row r="12" spans="1:4" x14ac:dyDescent="0.25">
      <c r="A12" s="1"/>
      <c r="B12" s="32" t="s">
        <v>172</v>
      </c>
      <c r="C12" s="33">
        <v>1.9699999999999999E-2</v>
      </c>
      <c r="D12" s="1"/>
    </row>
    <row r="13" spans="1:4" x14ac:dyDescent="0.25">
      <c r="A13" s="1"/>
      <c r="B13" s="32" t="s">
        <v>135</v>
      </c>
      <c r="C13" s="33">
        <v>1.2200000000000001E-2</v>
      </c>
      <c r="D13" s="1"/>
    </row>
    <row r="14" spans="1:4" x14ac:dyDescent="0.25">
      <c r="A14" s="1"/>
      <c r="B14" s="94" t="s">
        <v>171</v>
      </c>
      <c r="C14" s="41">
        <v>3.3E-3</v>
      </c>
      <c r="D14" s="1"/>
    </row>
    <row r="15" spans="1:4" x14ac:dyDescent="0.25">
      <c r="A15" s="1"/>
      <c r="B15" s="32" t="s">
        <v>223</v>
      </c>
      <c r="C15" s="66">
        <v>3.56E-2</v>
      </c>
      <c r="D15" s="1"/>
    </row>
    <row r="16" spans="1:4" x14ac:dyDescent="0.25">
      <c r="A16" s="1"/>
      <c r="B16" s="31"/>
      <c r="C16" s="18"/>
      <c r="D16" s="1"/>
    </row>
    <row r="17" spans="1:4" x14ac:dyDescent="0.25">
      <c r="A17" s="1"/>
      <c r="B17" s="1"/>
      <c r="C17" s="1"/>
      <c r="D17" s="1"/>
    </row>
    <row r="18" spans="1:4" x14ac:dyDescent="0.25">
      <c r="A18" s="1"/>
      <c r="B18" s="1"/>
      <c r="C18" s="1"/>
      <c r="D18" s="1"/>
    </row>
    <row r="19" spans="1:4" x14ac:dyDescent="0.25">
      <c r="A19" s="1"/>
      <c r="B19" s="31" t="s">
        <v>103</v>
      </c>
      <c r="C19" s="18"/>
      <c r="D19" s="1"/>
    </row>
    <row r="20" spans="1:4" x14ac:dyDescent="0.25">
      <c r="A20" s="1"/>
      <c r="B20" s="94" t="s">
        <v>114</v>
      </c>
      <c r="C20" s="21">
        <v>9.1000000000000004E-3</v>
      </c>
      <c r="D20" s="1"/>
    </row>
    <row r="21" spans="1:4" x14ac:dyDescent="0.25">
      <c r="A21" s="1"/>
      <c r="B21" s="94" t="s">
        <v>145</v>
      </c>
      <c r="C21" s="21">
        <v>1.77E-2</v>
      </c>
      <c r="D21" s="1"/>
    </row>
    <row r="22" spans="1:4" x14ac:dyDescent="0.25">
      <c r="A22" s="1"/>
      <c r="B22" s="94" t="s">
        <v>146</v>
      </c>
      <c r="C22" s="21">
        <v>8.6999999999999994E-3</v>
      </c>
      <c r="D22" s="1"/>
    </row>
    <row r="23" spans="1:4" x14ac:dyDescent="0.25">
      <c r="A23" s="1"/>
      <c r="B23" s="94" t="s">
        <v>115</v>
      </c>
      <c r="C23" s="34">
        <v>2.8400000000000002E-2</v>
      </c>
      <c r="D23" s="1"/>
    </row>
    <row r="24" spans="1:4" x14ac:dyDescent="0.25">
      <c r="A24" s="1"/>
      <c r="B24" s="94" t="s">
        <v>147</v>
      </c>
      <c r="C24" s="34">
        <v>2.75E-2</v>
      </c>
      <c r="D24" s="1"/>
    </row>
    <row r="25" spans="1:4" x14ac:dyDescent="0.25">
      <c r="A25" s="1"/>
      <c r="B25" s="94" t="s">
        <v>148</v>
      </c>
      <c r="C25" s="34">
        <v>1.4800000000000001E-2</v>
      </c>
      <c r="D25" s="1"/>
    </row>
    <row r="26" spans="1:4" x14ac:dyDescent="0.25">
      <c r="A26" s="1"/>
      <c r="B26" s="32" t="s">
        <v>216</v>
      </c>
      <c r="C26" s="67">
        <v>0</v>
      </c>
      <c r="D26" s="1"/>
    </row>
    <row r="27" spans="1:4" x14ac:dyDescent="0.25">
      <c r="A27" s="1"/>
      <c r="B27" s="31"/>
      <c r="C27" s="18"/>
      <c r="D27" s="1"/>
    </row>
    <row r="28" spans="1:4" x14ac:dyDescent="0.25">
      <c r="A28" s="1"/>
      <c r="B28" s="1"/>
      <c r="C28" s="1"/>
      <c r="D28" s="1"/>
    </row>
    <row r="29" spans="1:4" x14ac:dyDescent="0.25">
      <c r="A29" s="1"/>
      <c r="B29" s="1"/>
      <c r="C29" s="1"/>
      <c r="D29" s="1"/>
    </row>
    <row r="30" spans="1:4" x14ac:dyDescent="0.25">
      <c r="A30" s="1"/>
      <c r="B30" s="31" t="s">
        <v>104</v>
      </c>
      <c r="C30" s="18"/>
      <c r="D30" s="1"/>
    </row>
    <row r="31" spans="1:4" x14ac:dyDescent="0.25">
      <c r="A31" s="1"/>
      <c r="B31" s="94" t="s">
        <v>116</v>
      </c>
      <c r="C31" s="23">
        <v>0.02</v>
      </c>
      <c r="D31" s="1"/>
    </row>
    <row r="32" spans="1:4" x14ac:dyDescent="0.25">
      <c r="A32" s="1"/>
      <c r="B32" s="31"/>
      <c r="C32" s="18"/>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V+i5gEPM5y+nONHpw6vZN0PKPOwZK6L/ml9XnIXynnoRqBKybHqr6RxjCQauTmGXqq/mDZohWgnIFG0hpvBrSA==" saltValue="6X8bW9iPwQCP5nrS+Aknc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1" t="s">
        <v>13</v>
      </c>
      <c r="C8" s="26"/>
      <c r="D8" s="18"/>
      <c r="E8" s="1"/>
    </row>
    <row r="9" spans="1:5" ht="15" customHeight="1" x14ac:dyDescent="0.25">
      <c r="A9" s="1"/>
      <c r="B9" s="27" t="s">
        <v>127</v>
      </c>
      <c r="C9" s="7">
        <f>'Fane 2.1. Økonomisk ramme 2023'!C20</f>
        <v>21761594.942019392</v>
      </c>
      <c r="D9" s="8" t="s">
        <v>3</v>
      </c>
      <c r="E9" s="1"/>
    </row>
    <row r="10" spans="1:5" ht="15" customHeight="1" x14ac:dyDescent="0.25">
      <c r="A10" s="1"/>
      <c r="B10" s="24" t="s">
        <v>19</v>
      </c>
      <c r="C10" s="7">
        <f>SUM(C9:C9)*'Fane 15. Nøgletal'!C15</f>
        <v>774712.77993589034</v>
      </c>
      <c r="D10" s="8" t="s">
        <v>3</v>
      </c>
      <c r="E10" s="1"/>
    </row>
    <row r="11" spans="1:5" ht="15" customHeight="1" x14ac:dyDescent="0.25">
      <c r="A11" s="1"/>
      <c r="B11" s="24" t="s">
        <v>10</v>
      </c>
      <c r="C11" s="9">
        <f>-SUM(C9:C10)*'Fane 5. Individuelt eff. krav'!G9</f>
        <v>-60200.561242705349</v>
      </c>
      <c r="D11" s="8" t="s">
        <v>3</v>
      </c>
      <c r="E11" s="1"/>
    </row>
    <row r="12" spans="1:5" ht="15" customHeight="1" x14ac:dyDescent="0.25">
      <c r="A12" s="1"/>
      <c r="B12" s="24" t="s">
        <v>24</v>
      </c>
      <c r="C12" s="9">
        <f>-'Fane 4.1. Gen. krav - drift'!G53</f>
        <v>-262848.9406122308</v>
      </c>
      <c r="D12" s="8" t="s">
        <v>3</v>
      </c>
      <c r="E12" s="1"/>
    </row>
    <row r="13" spans="1:5" ht="15" customHeight="1" x14ac:dyDescent="0.25">
      <c r="A13" s="1"/>
      <c r="B13" s="24" t="s">
        <v>25</v>
      </c>
      <c r="C13" s="9">
        <f>-'Fane 4.2. Gen. krav - anlæg'!G54</f>
        <v>0</v>
      </c>
      <c r="D13" s="8" t="s">
        <v>3</v>
      </c>
      <c r="E13" s="1"/>
    </row>
    <row r="14" spans="1:5" ht="15" customHeight="1" x14ac:dyDescent="0.25">
      <c r="A14" s="1"/>
      <c r="B14" s="25" t="s">
        <v>21</v>
      </c>
      <c r="C14" s="10">
        <f>SUM(C9:C13)</f>
        <v>22213258.220100343</v>
      </c>
      <c r="D14" s="11" t="s">
        <v>3</v>
      </c>
      <c r="E14" s="1"/>
    </row>
    <row r="15" spans="1:5" x14ac:dyDescent="0.25">
      <c r="A15" s="1"/>
      <c r="B15" s="31" t="s">
        <v>12</v>
      </c>
      <c r="C15" s="26"/>
      <c r="D15" s="18"/>
      <c r="E15" s="1"/>
    </row>
    <row r="16" spans="1:5" ht="15" customHeight="1" x14ac:dyDescent="0.25">
      <c r="A16" s="1"/>
      <c r="B16" s="29" t="s">
        <v>12</v>
      </c>
      <c r="C16" s="10">
        <f>'Fane 6. Ikke-påvirkelige omk.'!C15*(1+'Fane 15. Nøgletal'!C15)+'Fane 6. Ikke-påvirkelige omk.'!C26+'Fane 6. Ikke-påvirkelige omk.'!C34</f>
        <v>1353590.1661100199</v>
      </c>
      <c r="D16" s="11" t="s">
        <v>3</v>
      </c>
      <c r="E16" s="1"/>
    </row>
    <row r="17" spans="1:5" ht="15" customHeight="1" x14ac:dyDescent="0.25">
      <c r="A17" s="1"/>
      <c r="B17" s="31" t="s">
        <v>86</v>
      </c>
      <c r="C17" s="26"/>
      <c r="D17" s="18"/>
      <c r="E17" s="1"/>
    </row>
    <row r="18" spans="1:5" ht="15" customHeight="1" x14ac:dyDescent="0.25">
      <c r="A18" s="1"/>
      <c r="B18" s="89" t="s">
        <v>86</v>
      </c>
      <c r="C18" s="10">
        <f>'Fane 12. Periodevise driftsomk.'!E19</f>
        <v>0</v>
      </c>
      <c r="D18" s="11" t="s">
        <v>3</v>
      </c>
      <c r="E18" s="1"/>
    </row>
    <row r="19" spans="1:5" x14ac:dyDescent="0.25">
      <c r="A19" s="1"/>
      <c r="B19" s="31" t="s">
        <v>143</v>
      </c>
      <c r="C19" s="26"/>
      <c r="D19" s="18"/>
      <c r="E19" s="1"/>
    </row>
    <row r="20" spans="1:5" ht="15" customHeight="1" x14ac:dyDescent="0.25">
      <c r="A20" s="1"/>
      <c r="B20" s="29" t="s">
        <v>180</v>
      </c>
      <c r="C20" s="10">
        <f>'Fane 7. Kontrol af ØR2021'!E34</f>
        <v>0</v>
      </c>
      <c r="D20" s="11" t="s">
        <v>3</v>
      </c>
      <c r="E20" s="1"/>
    </row>
    <row r="21" spans="1:5" x14ac:dyDescent="0.25">
      <c r="A21" s="1"/>
      <c r="B21" s="28" t="s">
        <v>175</v>
      </c>
      <c r="C21" s="26"/>
      <c r="D21" s="18"/>
      <c r="E21" s="1"/>
    </row>
    <row r="22" spans="1:5" x14ac:dyDescent="0.25">
      <c r="A22" s="1"/>
      <c r="B22" s="95" t="s">
        <v>176</v>
      </c>
      <c r="C22" s="10">
        <f>'Fane 8. Skattesagen'!G13</f>
        <v>0</v>
      </c>
      <c r="D22" s="11" t="s">
        <v>3</v>
      </c>
      <c r="E22" s="1"/>
    </row>
    <row r="23" spans="1:5" x14ac:dyDescent="0.25">
      <c r="A23" s="1"/>
      <c r="B23" s="31" t="s">
        <v>128</v>
      </c>
      <c r="C23" s="12">
        <f>SUM(C14,C16,C18,C20,C22)</f>
        <v>23566848.386210363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EFRtevKvCcx0Gu0gAbyqHQ4nOkRRn+1dE3AViVJAnkzb+fQjWvNf5lPSlXqV9Gun9eHwgDgXx733j1wwRv5AQw==" saltValue="UfNybnujF8dajqUyxDOY5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1" t="s">
        <v>13</v>
      </c>
      <c r="C8" s="26"/>
      <c r="D8" s="18"/>
      <c r="E8" s="1"/>
    </row>
    <row r="9" spans="1:5" ht="15" customHeight="1" x14ac:dyDescent="0.25">
      <c r="A9" s="1"/>
      <c r="B9" s="27" t="s">
        <v>233</v>
      </c>
      <c r="C9" s="7">
        <f>'Fane 2.2. Økonomisk ramme 2024'!C14</f>
        <v>22213258.220100343</v>
      </c>
      <c r="D9" s="8" t="s">
        <v>3</v>
      </c>
      <c r="E9" s="1"/>
    </row>
    <row r="10" spans="1:5" ht="15" customHeight="1" x14ac:dyDescent="0.25">
      <c r="A10" s="1"/>
      <c r="B10" s="24" t="s">
        <v>19</v>
      </c>
      <c r="C10" s="7">
        <f>SUM(C9:C9)*'Fane 15. Nøgletal'!C15</f>
        <v>790791.99263557221</v>
      </c>
      <c r="D10" s="8" t="s">
        <v>3</v>
      </c>
      <c r="E10" s="1"/>
    </row>
    <row r="11" spans="1:5" ht="15" customHeight="1" x14ac:dyDescent="0.25">
      <c r="A11" s="1"/>
      <c r="B11" s="24" t="s">
        <v>10</v>
      </c>
      <c r="C11" s="9">
        <f>-SUM(C9:C10)*'Fane 5. Individuelt eff. krav'!G9</f>
        <v>-61450.027695216675</v>
      </c>
      <c r="D11" s="8" t="s">
        <v>3</v>
      </c>
      <c r="E11" s="1"/>
    </row>
    <row r="12" spans="1:5" ht="15" customHeight="1" x14ac:dyDescent="0.25">
      <c r="A12" s="1"/>
      <c r="B12" s="24" t="s">
        <v>24</v>
      </c>
      <c r="C12" s="9">
        <f>-'Fane 4.1. Gen. krav - drift'!G58</f>
        <v>-266762.23564006569</v>
      </c>
      <c r="D12" s="8" t="s">
        <v>3</v>
      </c>
      <c r="E12" s="1"/>
    </row>
    <row r="13" spans="1:5" ht="15" customHeight="1" x14ac:dyDescent="0.25">
      <c r="A13" s="1"/>
      <c r="B13" s="24" t="s">
        <v>25</v>
      </c>
      <c r="C13" s="9">
        <f>-'Fane 4.2. Gen. krav - anlæg'!G59</f>
        <v>0</v>
      </c>
      <c r="D13" s="8" t="s">
        <v>3</v>
      </c>
      <c r="E13" s="1"/>
    </row>
    <row r="14" spans="1:5" x14ac:dyDescent="0.25">
      <c r="A14" s="1"/>
      <c r="B14" s="25" t="s">
        <v>21</v>
      </c>
      <c r="C14" s="10">
        <f>SUM(C9:C13)</f>
        <v>22675837.949400634</v>
      </c>
      <c r="D14" s="11" t="s">
        <v>3</v>
      </c>
      <c r="E14" s="1"/>
    </row>
    <row r="15" spans="1:5" x14ac:dyDescent="0.25">
      <c r="A15" s="1"/>
      <c r="B15" s="31" t="s">
        <v>12</v>
      </c>
      <c r="C15" s="26"/>
      <c r="D15" s="18"/>
      <c r="E15" s="1"/>
    </row>
    <row r="16" spans="1:5" ht="15" customHeight="1" x14ac:dyDescent="0.25">
      <c r="A16" s="1"/>
      <c r="B16" s="29" t="s">
        <v>12</v>
      </c>
      <c r="C16" s="10">
        <f>'Fane 6. Ikke-påvirkelige omk.'!C15*(1+'Fane 15. Nøgletal'!C15)^2+'Fane 6. Ikke-påvirkelige omk.'!C21+'Fane 6. Ikke-påvirkelige omk.'!C29</f>
        <v>1401777.9760235366</v>
      </c>
      <c r="D16" s="11" t="s">
        <v>3</v>
      </c>
      <c r="E16" s="1"/>
    </row>
    <row r="17" spans="1:5" ht="15" customHeight="1" x14ac:dyDescent="0.25">
      <c r="A17" s="1"/>
      <c r="B17" s="31" t="s">
        <v>86</v>
      </c>
      <c r="C17" s="26"/>
      <c r="D17" s="18"/>
      <c r="E17" s="1"/>
    </row>
    <row r="18" spans="1:5" ht="15" customHeight="1" x14ac:dyDescent="0.25">
      <c r="A18" s="1"/>
      <c r="B18" s="89" t="s">
        <v>86</v>
      </c>
      <c r="C18" s="10">
        <f>'Fane 12. Periodevise driftsomk.'!E25</f>
        <v>0</v>
      </c>
      <c r="D18" s="11" t="s">
        <v>3</v>
      </c>
      <c r="E18" s="1"/>
    </row>
    <row r="19" spans="1:5" ht="15" customHeight="1" x14ac:dyDescent="0.25">
      <c r="A19" s="1"/>
      <c r="B19" s="31" t="s">
        <v>143</v>
      </c>
      <c r="C19" s="26"/>
      <c r="D19" s="18"/>
      <c r="E19" s="1"/>
    </row>
    <row r="20" spans="1:5" ht="15" customHeight="1" x14ac:dyDescent="0.25">
      <c r="A20" s="1"/>
      <c r="B20" s="29" t="s">
        <v>180</v>
      </c>
      <c r="C20" s="10">
        <f>'Fane 7. Kontrol af ØR2021'!E34</f>
        <v>0</v>
      </c>
      <c r="D20" s="11" t="s">
        <v>3</v>
      </c>
      <c r="E20" s="1"/>
    </row>
    <row r="21" spans="1:5" x14ac:dyDescent="0.25">
      <c r="A21" s="1"/>
      <c r="B21" s="28" t="s">
        <v>175</v>
      </c>
      <c r="C21" s="26"/>
      <c r="D21" s="18"/>
      <c r="E21" s="1"/>
    </row>
    <row r="22" spans="1:5" x14ac:dyDescent="0.25">
      <c r="A22" s="1"/>
      <c r="B22" s="95" t="s">
        <v>176</v>
      </c>
      <c r="C22" s="10">
        <f>'Fane 8. Skattesagen'!G14</f>
        <v>0</v>
      </c>
      <c r="D22" s="11" t="s">
        <v>3</v>
      </c>
      <c r="E22" s="1"/>
    </row>
    <row r="23" spans="1:5" x14ac:dyDescent="0.25">
      <c r="A23" s="1"/>
      <c r="B23" s="31" t="s">
        <v>149</v>
      </c>
      <c r="C23" s="12">
        <f>SUM(C14,C16,C18,C20,C22)</f>
        <v>24077615.92542417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iTGKA/MRYcjwHN/xNbBir9gnHZIhLbavl2V5d5KzL0aRHj1nCvlg2JdTmpHHvDMqAuekAWDQiSwpC8q/sXj5mg==" saltValue="CVSjsNMcWevqjMGqMu7IU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1" t="s">
        <v>13</v>
      </c>
      <c r="C8" s="26"/>
      <c r="D8" s="18"/>
      <c r="E8" s="1"/>
    </row>
    <row r="9" spans="1:5" ht="15" customHeight="1" x14ac:dyDescent="0.25">
      <c r="A9" s="1"/>
      <c r="B9" s="27" t="s">
        <v>189</v>
      </c>
      <c r="C9" s="7">
        <f>'Fane 2.3. Økonomisk ramme 2025'!C14</f>
        <v>22675837.949400634</v>
      </c>
      <c r="D9" s="8" t="s">
        <v>3</v>
      </c>
      <c r="E9" s="1"/>
    </row>
    <row r="10" spans="1:5" ht="15" customHeight="1" x14ac:dyDescent="0.25">
      <c r="A10" s="1"/>
      <c r="B10" s="24" t="s">
        <v>19</v>
      </c>
      <c r="C10" s="7">
        <f>SUM(C9:C9)*'Fane 15. Nøgletal'!C15</f>
        <v>807259.83099866251</v>
      </c>
      <c r="D10" s="8" t="s">
        <v>3</v>
      </c>
      <c r="E10" s="1"/>
    </row>
    <row r="11" spans="1:5" ht="15" customHeight="1" x14ac:dyDescent="0.25">
      <c r="A11" s="1"/>
      <c r="B11" s="24" t="s">
        <v>10</v>
      </c>
      <c r="C11" s="9">
        <f>-SUM(C9:C10)*'Fane 5. Individuelt eff. krav'!G9</f>
        <v>-62729.693059707286</v>
      </c>
      <c r="D11" s="8" t="s">
        <v>3</v>
      </c>
      <c r="E11" s="1"/>
    </row>
    <row r="12" spans="1:5" ht="15" customHeight="1" x14ac:dyDescent="0.25">
      <c r="A12" s="1"/>
      <c r="B12" s="24" t="s">
        <v>24</v>
      </c>
      <c r="C12" s="9">
        <f>-'Fane 4.1. Gen. krav - drift'!G63</f>
        <v>-270733.79180427501</v>
      </c>
      <c r="D12" s="8" t="s">
        <v>3</v>
      </c>
      <c r="E12" s="1"/>
    </row>
    <row r="13" spans="1:5" ht="15" customHeight="1" x14ac:dyDescent="0.25">
      <c r="A13" s="1"/>
      <c r="B13" s="24" t="s">
        <v>25</v>
      </c>
      <c r="C13" s="9">
        <f>-'Fane 4.2. Gen. krav - anlæg'!G64</f>
        <v>0</v>
      </c>
      <c r="D13" s="8" t="s">
        <v>3</v>
      </c>
      <c r="E13" s="1"/>
    </row>
    <row r="14" spans="1:5" ht="14.25" customHeight="1" x14ac:dyDescent="0.25">
      <c r="A14" s="1"/>
      <c r="B14" s="25" t="s">
        <v>21</v>
      </c>
      <c r="C14" s="10">
        <f>SUM(C9:C13)</f>
        <v>23149634.295535311</v>
      </c>
      <c r="D14" s="11" t="s">
        <v>3</v>
      </c>
      <c r="E14" s="1"/>
    </row>
    <row r="15" spans="1:5" x14ac:dyDescent="0.25">
      <c r="A15" s="1"/>
      <c r="B15" s="31" t="s">
        <v>12</v>
      </c>
      <c r="C15" s="26"/>
      <c r="D15" s="18"/>
      <c r="E15" s="1"/>
    </row>
    <row r="16" spans="1:5" ht="15" customHeight="1" x14ac:dyDescent="0.25">
      <c r="A16" s="1"/>
      <c r="B16" s="29" t="s">
        <v>12</v>
      </c>
      <c r="C16" s="10">
        <f>'Fane 6. Ikke-påvirkelige omk.'!C15*(1+'Fane 15. Nøgletal'!C15)^3+'Fane 6. Ikke-påvirkelige omk.'!C22+'Fane 6. Ikke-påvirkelige omk.'!C30</f>
        <v>1451681.2719699747</v>
      </c>
      <c r="D16" s="11" t="s">
        <v>3</v>
      </c>
      <c r="E16" s="1"/>
    </row>
    <row r="17" spans="1:5" ht="15" customHeight="1" x14ac:dyDescent="0.25">
      <c r="A17" s="1"/>
      <c r="B17" s="31" t="s">
        <v>86</v>
      </c>
      <c r="C17" s="26"/>
      <c r="D17" s="18"/>
      <c r="E17" s="1"/>
    </row>
    <row r="18" spans="1:5" ht="15" customHeight="1" x14ac:dyDescent="0.25">
      <c r="A18" s="1"/>
      <c r="B18" s="89" t="s">
        <v>86</v>
      </c>
      <c r="C18" s="10">
        <f>'Fane 12. Periodevise driftsomk.'!E31</f>
        <v>0</v>
      </c>
      <c r="D18" s="11" t="s">
        <v>3</v>
      </c>
      <c r="E18" s="1"/>
    </row>
    <row r="19" spans="1:5" ht="15" customHeight="1" x14ac:dyDescent="0.25">
      <c r="A19" s="1"/>
      <c r="B19" s="31" t="s">
        <v>143</v>
      </c>
      <c r="C19" s="26"/>
      <c r="D19" s="18"/>
      <c r="E19" s="1"/>
    </row>
    <row r="20" spans="1:5" ht="15" customHeight="1" x14ac:dyDescent="0.25">
      <c r="A20" s="1"/>
      <c r="B20" s="29" t="s">
        <v>180</v>
      </c>
      <c r="C20" s="10">
        <f>'Fane 7. Kontrol af ØR2021'!E34</f>
        <v>0</v>
      </c>
      <c r="D20" s="11" t="s">
        <v>3</v>
      </c>
      <c r="E20" s="1"/>
    </row>
    <row r="21" spans="1:5" x14ac:dyDescent="0.25">
      <c r="A21" s="1"/>
      <c r="B21" s="28" t="s">
        <v>175</v>
      </c>
      <c r="C21" s="26"/>
      <c r="D21" s="18"/>
      <c r="E21" s="1"/>
    </row>
    <row r="22" spans="1:5" x14ac:dyDescent="0.25">
      <c r="A22" s="1"/>
      <c r="B22" s="95" t="s">
        <v>176</v>
      </c>
      <c r="C22" s="10">
        <f>'Fane 8. Skattesagen'!G15</f>
        <v>0</v>
      </c>
      <c r="D22" s="11" t="s">
        <v>3</v>
      </c>
      <c r="E22" s="1"/>
    </row>
    <row r="23" spans="1:5" x14ac:dyDescent="0.25">
      <c r="A23" s="1"/>
      <c r="B23" s="31" t="s">
        <v>190</v>
      </c>
      <c r="C23" s="12">
        <f>SUM(C14,C16,C18,C20,C22)</f>
        <v>24601315.567505285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AVA3L+a0Ormi+tTR9GylL4L+jI1TSN0emTLucv5x4QbuvmD2JAc6m8W5O/JUCq3Kv9UNx1zyfDX0l8mQbEVHvA==" saltValue="J9mlp6veOuDmv+wdhvs/b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191</v>
      </c>
      <c r="C3" s="124"/>
      <c r="D3" s="124"/>
      <c r="E3" s="124"/>
      <c r="F3" s="124"/>
      <c r="G3" s="1"/>
    </row>
    <row r="4" spans="1:7" ht="29.2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1" t="s">
        <v>286</v>
      </c>
      <c r="C8" s="26"/>
      <c r="D8" s="26"/>
      <c r="E8" s="26"/>
      <c r="F8" s="18"/>
      <c r="G8" s="1"/>
    </row>
    <row r="9" spans="1:7" ht="15" customHeight="1" x14ac:dyDescent="0.25">
      <c r="A9" s="1"/>
      <c r="B9" s="121" t="s">
        <v>192</v>
      </c>
      <c r="C9" s="122"/>
      <c r="D9" s="123"/>
      <c r="E9" s="7">
        <v>22541093.719790239</v>
      </c>
      <c r="F9" s="8" t="s">
        <v>3</v>
      </c>
      <c r="G9" s="1"/>
    </row>
    <row r="10" spans="1:7" ht="15" customHeight="1" x14ac:dyDescent="0.25">
      <c r="A10" s="1"/>
      <c r="B10" s="125" t="s">
        <v>39</v>
      </c>
      <c r="C10" s="126"/>
      <c r="D10" s="127"/>
      <c r="E10" s="7">
        <v>0</v>
      </c>
      <c r="F10" s="8" t="s">
        <v>3</v>
      </c>
      <c r="G10" s="1"/>
    </row>
    <row r="11" spans="1:7" ht="15" customHeight="1" x14ac:dyDescent="0.25">
      <c r="A11" s="1"/>
      <c r="B11" s="125" t="s">
        <v>40</v>
      </c>
      <c r="C11" s="126"/>
      <c r="D11" s="127"/>
      <c r="E11" s="9">
        <v>0</v>
      </c>
      <c r="F11" s="8" t="s">
        <v>3</v>
      </c>
      <c r="G11" s="1"/>
    </row>
    <row r="12" spans="1:7" ht="15" customHeight="1" x14ac:dyDescent="0.25">
      <c r="A12" s="1"/>
      <c r="B12" s="125" t="s">
        <v>27</v>
      </c>
      <c r="C12" s="126"/>
      <c r="D12" s="127"/>
      <c r="E12" s="9">
        <v>0</v>
      </c>
      <c r="F12" s="8" t="s">
        <v>3</v>
      </c>
      <c r="G12" s="1"/>
    </row>
    <row r="13" spans="1:7" ht="15" customHeight="1" x14ac:dyDescent="0.25">
      <c r="A13" s="1"/>
      <c r="B13" s="121" t="s">
        <v>26</v>
      </c>
      <c r="C13" s="122"/>
      <c r="D13" s="123"/>
      <c r="E13" s="9">
        <v>0</v>
      </c>
      <c r="F13" s="8" t="s">
        <v>3</v>
      </c>
      <c r="G13" s="1"/>
    </row>
    <row r="14" spans="1:7" ht="15" customHeight="1" x14ac:dyDescent="0.25">
      <c r="A14" s="1"/>
      <c r="B14" s="121" t="s">
        <v>29</v>
      </c>
      <c r="C14" s="122"/>
      <c r="D14" s="123"/>
      <c r="E14" s="9">
        <v>0</v>
      </c>
      <c r="F14" s="8" t="s">
        <v>3</v>
      </c>
      <c r="G14" s="1"/>
    </row>
    <row r="15" spans="1:7" ht="15" customHeight="1" x14ac:dyDescent="0.25">
      <c r="A15" s="1"/>
      <c r="B15" s="121" t="s">
        <v>28</v>
      </c>
      <c r="C15" s="122"/>
      <c r="D15" s="123"/>
      <c r="E15" s="9">
        <v>0</v>
      </c>
      <c r="F15" s="8" t="s">
        <v>3</v>
      </c>
      <c r="G15" s="1"/>
    </row>
    <row r="16" spans="1:7" ht="15" customHeight="1" x14ac:dyDescent="0.25">
      <c r="A16" s="1"/>
      <c r="B16" s="121" t="s">
        <v>19</v>
      </c>
      <c r="C16" s="122"/>
      <c r="D16" s="123"/>
      <c r="E16" s="9">
        <f>SUM(E9:E15)*'Fane 15. Nøgletal'!C14</f>
        <v>74385.609275307783</v>
      </c>
      <c r="F16" s="8" t="s">
        <v>3</v>
      </c>
      <c r="G16" s="1"/>
    </row>
    <row r="17" spans="1:7" ht="15" customHeight="1" x14ac:dyDescent="0.25">
      <c r="A17" s="1"/>
      <c r="B17" s="121" t="s">
        <v>10</v>
      </c>
      <c r="C17" s="122"/>
      <c r="D17" s="123"/>
      <c r="E17" s="9">
        <v>-60412.049976411341</v>
      </c>
      <c r="F17" s="8" t="s">
        <v>3</v>
      </c>
      <c r="G17" s="1"/>
    </row>
    <row r="18" spans="1:7" ht="15" customHeight="1" x14ac:dyDescent="0.25">
      <c r="A18" s="1"/>
      <c r="B18" s="121" t="s">
        <v>24</v>
      </c>
      <c r="C18" s="122"/>
      <c r="D18" s="123"/>
      <c r="E18" s="9">
        <f>-'Fane 4.1. Gen. krav - drift'!G39</f>
        <v>-263409.37361122767</v>
      </c>
      <c r="F18" s="8" t="s">
        <v>3</v>
      </c>
      <c r="G18" s="1"/>
    </row>
    <row r="19" spans="1:7" ht="15" customHeight="1" x14ac:dyDescent="0.25">
      <c r="A19" s="1"/>
      <c r="B19" s="121" t="s">
        <v>25</v>
      </c>
      <c r="C19" s="122"/>
      <c r="D19" s="123"/>
      <c r="E19" s="9">
        <f>-'Fane 4.2. Gen. krav - anlæg'!G37</f>
        <v>-143227.07988217619</v>
      </c>
      <c r="F19" s="8" t="s">
        <v>3</v>
      </c>
      <c r="G19" s="1"/>
    </row>
    <row r="20" spans="1:7" ht="15" customHeight="1" x14ac:dyDescent="0.25">
      <c r="A20" s="1"/>
      <c r="B20" s="52" t="s">
        <v>21</v>
      </c>
      <c r="C20" s="90"/>
      <c r="D20" s="96"/>
      <c r="E20" s="50">
        <f>SUM(E9:E19)</f>
        <v>22148430.825595733</v>
      </c>
      <c r="F20" s="51" t="s">
        <v>3</v>
      </c>
      <c r="G20" s="1"/>
    </row>
    <row r="21" spans="1:7" ht="15" customHeight="1" x14ac:dyDescent="0.25">
      <c r="A21" s="1"/>
      <c r="B21" s="31" t="s">
        <v>12</v>
      </c>
      <c r="C21" s="26"/>
      <c r="D21" s="26"/>
      <c r="E21" s="26"/>
      <c r="F21" s="18"/>
      <c r="G21" s="1"/>
    </row>
    <row r="22" spans="1:7" ht="15" customHeight="1" x14ac:dyDescent="0.25">
      <c r="A22" s="1"/>
      <c r="B22" s="128" t="s">
        <v>12</v>
      </c>
      <c r="C22" s="129"/>
      <c r="D22" s="130"/>
      <c r="E22" s="10">
        <v>1591888.6862162603</v>
      </c>
      <c r="F22" s="11" t="s">
        <v>3</v>
      </c>
      <c r="G22" s="1"/>
    </row>
    <row r="23" spans="1:7" ht="15" customHeight="1" x14ac:dyDescent="0.25">
      <c r="A23" s="1"/>
      <c r="B23" s="131" t="s">
        <v>86</v>
      </c>
      <c r="C23" s="132"/>
      <c r="D23" s="133"/>
      <c r="E23" s="26"/>
      <c r="F23" s="26"/>
      <c r="G23" s="1"/>
    </row>
    <row r="24" spans="1:7" ht="15" customHeight="1" x14ac:dyDescent="0.25">
      <c r="A24" s="1"/>
      <c r="B24" s="89" t="s">
        <v>86</v>
      </c>
      <c r="C24" s="36"/>
      <c r="D24" s="37"/>
      <c r="E24" s="10">
        <v>0</v>
      </c>
      <c r="F24" s="11" t="s">
        <v>3</v>
      </c>
      <c r="G24" s="1"/>
    </row>
    <row r="25" spans="1:7" x14ac:dyDescent="0.25">
      <c r="A25" s="1"/>
      <c r="B25" s="31" t="s">
        <v>85</v>
      </c>
      <c r="C25" s="26"/>
      <c r="D25" s="26"/>
      <c r="E25" s="26"/>
      <c r="F25" s="18"/>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4" t="s">
        <v>87</v>
      </c>
      <c r="C28" s="135"/>
      <c r="D28" s="135"/>
      <c r="E28" s="38">
        <v>0</v>
      </c>
      <c r="F28" s="11" t="s">
        <v>3</v>
      </c>
      <c r="G28" s="1"/>
    </row>
    <row r="29" spans="1:7" ht="15" customHeight="1" x14ac:dyDescent="0.25">
      <c r="A29" s="1"/>
      <c r="B29" s="31" t="s">
        <v>143</v>
      </c>
      <c r="C29" s="31"/>
      <c r="D29" s="31"/>
      <c r="E29" s="26"/>
      <c r="F29" s="26"/>
      <c r="G29" s="1"/>
    </row>
    <row r="30" spans="1:7" ht="15" customHeight="1" x14ac:dyDescent="0.25">
      <c r="A30" s="1"/>
      <c r="B30" s="128" t="s">
        <v>142</v>
      </c>
      <c r="C30" s="129"/>
      <c r="D30" s="129"/>
      <c r="E30" s="38">
        <v>-1195596.3230805136</v>
      </c>
      <c r="F30" s="11" t="s">
        <v>3</v>
      </c>
      <c r="G30" s="1"/>
    </row>
    <row r="31" spans="1:7" x14ac:dyDescent="0.25">
      <c r="A31" s="1"/>
      <c r="B31" s="31" t="s">
        <v>123</v>
      </c>
      <c r="C31" s="26"/>
      <c r="D31" s="26"/>
      <c r="E31" s="26"/>
      <c r="F31" s="26"/>
      <c r="G31" s="1"/>
    </row>
    <row r="32" spans="1:7" ht="15.4" customHeight="1" x14ac:dyDescent="0.25">
      <c r="A32" s="1"/>
      <c r="B32" s="128" t="s">
        <v>123</v>
      </c>
      <c r="C32" s="129"/>
      <c r="D32" s="130"/>
      <c r="E32" s="10">
        <v>0</v>
      </c>
      <c r="F32" s="11" t="s">
        <v>3</v>
      </c>
      <c r="G32" s="1"/>
    </row>
    <row r="33" spans="1:7" ht="15.4" customHeight="1" x14ac:dyDescent="0.25">
      <c r="A33" s="1"/>
      <c r="B33" s="131" t="s">
        <v>175</v>
      </c>
      <c r="C33" s="132"/>
      <c r="D33" s="132"/>
      <c r="E33" s="132"/>
      <c r="F33" s="133"/>
      <c r="G33" s="1"/>
    </row>
    <row r="34" spans="1:7" ht="15.4" customHeight="1" x14ac:dyDescent="0.25">
      <c r="A34" s="1"/>
      <c r="B34" s="95" t="s">
        <v>176</v>
      </c>
      <c r="C34" s="10"/>
      <c r="D34" s="11"/>
      <c r="E34" s="10">
        <f>'Fane 8. Skattesagen'!G11</f>
        <v>0</v>
      </c>
      <c r="F34" s="11" t="s">
        <v>3</v>
      </c>
      <c r="G34" s="1"/>
    </row>
    <row r="35" spans="1:7" x14ac:dyDescent="0.25">
      <c r="A35" s="1"/>
      <c r="B35" s="31" t="s">
        <v>218</v>
      </c>
      <c r="C35" s="26"/>
      <c r="D35" s="18"/>
      <c r="E35" s="12">
        <f>SUM(E32,E30,E28,E24,E22,E20,E34)</f>
        <v>22544723.18873148</v>
      </c>
      <c r="F35" s="13" t="s">
        <v>3</v>
      </c>
      <c r="G35" s="1"/>
    </row>
    <row r="36" spans="1:7" ht="27" customHeight="1" x14ac:dyDescent="0.25">
      <c r="A36" s="1"/>
      <c r="B36" s="121" t="s">
        <v>222</v>
      </c>
      <c r="C36" s="122"/>
      <c r="D36" s="122"/>
      <c r="E36" s="122"/>
      <c r="F36" s="123"/>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B51" s="48"/>
      <c r="C51" s="48"/>
      <c r="D51" s="48"/>
      <c r="E51" s="48"/>
      <c r="F51" s="48"/>
      <c r="G51" s="48"/>
    </row>
    <row r="52" spans="1:7" x14ac:dyDescent="0.25">
      <c r="A52" s="48"/>
      <c r="B52" s="48"/>
      <c r="C52" s="48"/>
      <c r="D52" s="48"/>
      <c r="E52" s="48"/>
      <c r="F52" s="48"/>
      <c r="G52" s="48"/>
    </row>
  </sheetData>
  <sheetProtection algorithmName="SHA-512" hashValue="YsKjy9ptxNZA7HrbRsSRdIAJ/e8ZD3kSZezUjyi0jWYxYFWKtTys8iwVT0jDSqPxtndVgXHQXOfcus7xHZ70GA==" saltValue="8MGJcnc1jCSNb3nOEj9b+g=="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5"/>
      <c r="C1" s="35"/>
      <c r="D1" s="35"/>
      <c r="E1" s="35"/>
      <c r="F1" s="35"/>
      <c r="G1" s="35"/>
      <c r="H1" s="35"/>
      <c r="I1" s="1"/>
    </row>
    <row r="2" spans="1:9" ht="15" customHeight="1" x14ac:dyDescent="0.25">
      <c r="A2" s="1"/>
      <c r="B2" s="124" t="s">
        <v>109</v>
      </c>
      <c r="C2" s="124"/>
      <c r="D2" s="124"/>
      <c r="E2" s="124"/>
      <c r="F2" s="124"/>
      <c r="G2" s="124"/>
      <c r="H2" s="124"/>
      <c r="I2" s="1"/>
    </row>
    <row r="3" spans="1:9" ht="28.5" customHeight="1" x14ac:dyDescent="0.25">
      <c r="A3" s="1"/>
      <c r="B3" s="124"/>
      <c r="C3" s="124"/>
      <c r="D3" s="124"/>
      <c r="E3" s="124"/>
      <c r="F3" s="124"/>
      <c r="G3" s="124"/>
      <c r="H3" s="124"/>
      <c r="I3" s="1"/>
    </row>
    <row r="4" spans="1:9" x14ac:dyDescent="0.25">
      <c r="A4" s="1"/>
      <c r="B4" s="131" t="s">
        <v>52</v>
      </c>
      <c r="C4" s="132"/>
      <c r="D4" s="132"/>
      <c r="E4" s="132"/>
      <c r="F4" s="132"/>
      <c r="G4" s="132"/>
      <c r="H4" s="133"/>
      <c r="I4" s="1"/>
    </row>
    <row r="5" spans="1:9" x14ac:dyDescent="0.25">
      <c r="A5" s="1"/>
      <c r="B5" s="136" t="s">
        <v>41</v>
      </c>
      <c r="C5" s="137"/>
      <c r="D5" s="137"/>
      <c r="E5" s="137"/>
      <c r="F5" s="138"/>
      <c r="G5" s="75">
        <v>13381046</v>
      </c>
      <c r="H5" s="14" t="s">
        <v>3</v>
      </c>
      <c r="I5" s="1"/>
    </row>
    <row r="6" spans="1:9" x14ac:dyDescent="0.25">
      <c r="A6" s="1"/>
      <c r="B6" s="121" t="s">
        <v>120</v>
      </c>
      <c r="C6" s="122"/>
      <c r="D6" s="122"/>
      <c r="E6" s="122"/>
      <c r="F6" s="123"/>
      <c r="G6" s="76">
        <v>0</v>
      </c>
      <c r="H6" s="14" t="s">
        <v>3</v>
      </c>
      <c r="I6" s="1"/>
    </row>
    <row r="7" spans="1:9" x14ac:dyDescent="0.25">
      <c r="A7" s="1"/>
      <c r="B7" s="136" t="s">
        <v>42</v>
      </c>
      <c r="C7" s="137"/>
      <c r="D7" s="137"/>
      <c r="E7" s="137"/>
      <c r="F7" s="138"/>
      <c r="G7" s="75">
        <f>SUM(G5:G6)*'Fane 15. Nøgletal'!C31</f>
        <v>267620.92</v>
      </c>
      <c r="H7" s="14" t="s">
        <v>3</v>
      </c>
      <c r="I7" s="1"/>
    </row>
    <row r="8" spans="1:9" x14ac:dyDescent="0.25">
      <c r="A8" s="1"/>
      <c r="B8" s="31"/>
      <c r="C8" s="26"/>
      <c r="D8" s="26"/>
      <c r="E8" s="26"/>
      <c r="F8" s="26"/>
      <c r="G8" s="77"/>
      <c r="H8" s="18"/>
      <c r="I8" s="1"/>
    </row>
    <row r="9" spans="1:9" x14ac:dyDescent="0.25">
      <c r="A9" s="1"/>
      <c r="B9" s="1"/>
      <c r="C9" s="1"/>
      <c r="D9" s="1"/>
      <c r="E9" s="1"/>
      <c r="F9" s="1"/>
      <c r="G9" s="78"/>
      <c r="H9" s="1"/>
      <c r="I9" s="1"/>
    </row>
    <row r="10" spans="1:9" x14ac:dyDescent="0.25">
      <c r="A10" s="1"/>
      <c r="B10" s="131" t="s">
        <v>53</v>
      </c>
      <c r="C10" s="132"/>
      <c r="D10" s="132"/>
      <c r="E10" s="132"/>
      <c r="F10" s="132"/>
      <c r="G10" s="139"/>
      <c r="H10" s="133"/>
      <c r="I10" s="1"/>
    </row>
    <row r="11" spans="1:9" x14ac:dyDescent="0.25">
      <c r="A11" s="1"/>
      <c r="B11" s="136" t="s">
        <v>43</v>
      </c>
      <c r="C11" s="137"/>
      <c r="D11" s="137"/>
      <c r="E11" s="137"/>
      <c r="F11" s="138"/>
      <c r="G11" s="75">
        <f>(G5-G7)*(1+'Fane 15. Nøgletal'!C10)</f>
        <v>13342910.018900001</v>
      </c>
      <c r="H11" s="14" t="s">
        <v>3</v>
      </c>
      <c r="I11" s="1"/>
    </row>
    <row r="12" spans="1:9" ht="15" customHeight="1" x14ac:dyDescent="0.25">
      <c r="A12" s="1"/>
      <c r="B12" s="136" t="s">
        <v>121</v>
      </c>
      <c r="C12" s="137"/>
      <c r="D12" s="137"/>
      <c r="E12" s="137"/>
      <c r="F12" s="138"/>
      <c r="G12" s="76">
        <v>0.32045930383261295</v>
      </c>
      <c r="H12" s="14" t="s">
        <v>3</v>
      </c>
      <c r="I12" s="1"/>
    </row>
    <row r="13" spans="1:9" x14ac:dyDescent="0.25">
      <c r="A13" s="1"/>
      <c r="B13" s="121" t="s">
        <v>118</v>
      </c>
      <c r="C13" s="122"/>
      <c r="D13" s="122"/>
      <c r="E13" s="122"/>
      <c r="F13" s="123"/>
      <c r="G13" s="80">
        <v>1243343</v>
      </c>
      <c r="H13" s="14" t="s">
        <v>3</v>
      </c>
      <c r="I13" s="1"/>
    </row>
    <row r="14" spans="1:9" x14ac:dyDescent="0.25">
      <c r="A14" s="1"/>
      <c r="B14" s="143" t="s">
        <v>44</v>
      </c>
      <c r="C14" s="144"/>
      <c r="D14" s="144"/>
      <c r="E14" s="144"/>
      <c r="F14" s="145"/>
      <c r="G14" s="80">
        <v>134464</v>
      </c>
      <c r="H14" s="14" t="s">
        <v>3</v>
      </c>
      <c r="I14" s="1"/>
    </row>
    <row r="15" spans="1:9" x14ac:dyDescent="0.25">
      <c r="A15" s="1"/>
      <c r="B15" s="136" t="s">
        <v>45</v>
      </c>
      <c r="C15" s="137"/>
      <c r="D15" s="137"/>
      <c r="E15" s="137"/>
      <c r="F15" s="138"/>
      <c r="G15" s="75">
        <f>SUM(G11:G14)*'Fane 15. Nøgletal'!C31</f>
        <v>294414.34678718611</v>
      </c>
      <c r="H15" s="14" t="s">
        <v>3</v>
      </c>
      <c r="I15" s="1"/>
    </row>
    <row r="16" spans="1:9" x14ac:dyDescent="0.25">
      <c r="A16" s="1"/>
      <c r="B16" s="31"/>
      <c r="C16" s="26"/>
      <c r="D16" s="26"/>
      <c r="E16" s="26"/>
      <c r="F16" s="26"/>
      <c r="G16" s="77"/>
      <c r="H16" s="18"/>
      <c r="I16" s="1"/>
    </row>
    <row r="17" spans="1:9" x14ac:dyDescent="0.25">
      <c r="A17" s="1"/>
      <c r="B17" s="1"/>
      <c r="C17" s="1"/>
      <c r="D17" s="1"/>
      <c r="E17" s="1"/>
      <c r="F17" s="1"/>
      <c r="G17" s="78"/>
      <c r="H17" s="1"/>
      <c r="I17" s="1"/>
    </row>
    <row r="18" spans="1:9" x14ac:dyDescent="0.25">
      <c r="A18" s="1"/>
      <c r="B18" s="131" t="s">
        <v>54</v>
      </c>
      <c r="C18" s="132"/>
      <c r="D18" s="132"/>
      <c r="E18" s="132"/>
      <c r="F18" s="132"/>
      <c r="G18" s="139"/>
      <c r="H18" s="133"/>
      <c r="I18" s="1"/>
    </row>
    <row r="19" spans="1:9" x14ac:dyDescent="0.25">
      <c r="A19" s="1"/>
      <c r="B19" s="136" t="s">
        <v>46</v>
      </c>
      <c r="C19" s="137"/>
      <c r="D19" s="137"/>
      <c r="E19" s="137"/>
      <c r="F19" s="138"/>
      <c r="G19" s="75">
        <f>(SUM(G11:G12,G14)-(G15))*(1+'Fane 15. Nøgletal'!C10)</f>
        <v>13413661.792442132</v>
      </c>
      <c r="H19" s="14" t="s">
        <v>3</v>
      </c>
      <c r="I19" s="1"/>
    </row>
    <row r="20" spans="1:9" x14ac:dyDescent="0.25">
      <c r="A20" s="1"/>
      <c r="B20" s="143" t="s">
        <v>47</v>
      </c>
      <c r="C20" s="144"/>
      <c r="D20" s="144"/>
      <c r="E20" s="144"/>
      <c r="F20" s="145"/>
      <c r="G20" s="76">
        <v>0</v>
      </c>
      <c r="H20" s="14" t="s">
        <v>3</v>
      </c>
      <c r="I20" s="1"/>
    </row>
    <row r="21" spans="1:9" x14ac:dyDescent="0.25">
      <c r="A21" s="1"/>
      <c r="B21" s="136" t="s">
        <v>48</v>
      </c>
      <c r="C21" s="137"/>
      <c r="D21" s="137"/>
      <c r="E21" s="137"/>
      <c r="F21" s="138"/>
      <c r="G21" s="75">
        <f>SUM(G19:G20)*'Fane 15. Nøgletal'!C31</f>
        <v>268273.23584884265</v>
      </c>
      <c r="H21" s="14" t="s">
        <v>3</v>
      </c>
      <c r="I21" s="1"/>
    </row>
    <row r="22" spans="1:9" x14ac:dyDescent="0.25">
      <c r="A22" s="1"/>
      <c r="B22" s="31"/>
      <c r="C22" s="26"/>
      <c r="D22" s="26"/>
      <c r="E22" s="26"/>
      <c r="F22" s="26"/>
      <c r="G22" s="77"/>
      <c r="H22" s="18"/>
      <c r="I22" s="1"/>
    </row>
    <row r="23" spans="1:9" x14ac:dyDescent="0.25">
      <c r="A23" s="1"/>
      <c r="B23" s="1"/>
      <c r="C23" s="1"/>
      <c r="D23" s="1"/>
      <c r="E23" s="1"/>
      <c r="F23" s="1"/>
      <c r="G23" s="78"/>
      <c r="H23" s="1"/>
      <c r="I23" s="1"/>
    </row>
    <row r="24" spans="1:9" x14ac:dyDescent="0.25">
      <c r="A24" s="1"/>
      <c r="B24" s="131" t="s">
        <v>55</v>
      </c>
      <c r="C24" s="132"/>
      <c r="D24" s="132"/>
      <c r="E24" s="132"/>
      <c r="F24" s="132"/>
      <c r="G24" s="139"/>
      <c r="H24" s="133"/>
      <c r="I24" s="1"/>
    </row>
    <row r="25" spans="1:9" x14ac:dyDescent="0.25">
      <c r="A25" s="1"/>
      <c r="B25" s="136" t="s">
        <v>49</v>
      </c>
      <c r="C25" s="137"/>
      <c r="D25" s="137"/>
      <c r="E25" s="137"/>
      <c r="F25" s="138"/>
      <c r="G25" s="75">
        <f>(G19+G20-G21)*(1+'Fane 15. Nøgletal'!C12)</f>
        <v>13404352.711158179</v>
      </c>
      <c r="H25" s="14" t="s">
        <v>3</v>
      </c>
      <c r="I25" s="1"/>
    </row>
    <row r="26" spans="1:9" x14ac:dyDescent="0.25">
      <c r="A26" s="1"/>
      <c r="B26" s="143" t="s">
        <v>50</v>
      </c>
      <c r="C26" s="144"/>
      <c r="D26" s="144"/>
      <c r="E26" s="144"/>
      <c r="F26" s="145"/>
      <c r="G26" s="76">
        <v>0</v>
      </c>
      <c r="H26" s="14" t="s">
        <v>3</v>
      </c>
      <c r="I26" s="1"/>
    </row>
    <row r="27" spans="1:9" x14ac:dyDescent="0.25">
      <c r="A27" s="1"/>
      <c r="B27" s="136" t="s">
        <v>51</v>
      </c>
      <c r="C27" s="137"/>
      <c r="D27" s="137"/>
      <c r="E27" s="137"/>
      <c r="F27" s="138"/>
      <c r="G27" s="75">
        <f>(G25+G26)*'Fane 15. Nøgletal'!C31</f>
        <v>268087.05422316358</v>
      </c>
      <c r="H27" s="14" t="s">
        <v>3</v>
      </c>
      <c r="I27" s="1"/>
    </row>
    <row r="28" spans="1:9" x14ac:dyDescent="0.25">
      <c r="A28" s="1"/>
      <c r="B28" s="31"/>
      <c r="C28" s="26"/>
      <c r="D28" s="26"/>
      <c r="E28" s="26"/>
      <c r="F28" s="26"/>
      <c r="G28" s="77"/>
      <c r="H28" s="18"/>
      <c r="I28" s="1"/>
    </row>
    <row r="29" spans="1:9" x14ac:dyDescent="0.25">
      <c r="A29" s="1"/>
      <c r="B29" s="1"/>
      <c r="C29" s="1"/>
      <c r="D29" s="1"/>
      <c r="E29" s="1"/>
      <c r="F29" s="1"/>
      <c r="G29" s="78"/>
      <c r="H29" s="1"/>
      <c r="I29" s="1"/>
    </row>
    <row r="30" spans="1:9" x14ac:dyDescent="0.25">
      <c r="A30" s="1"/>
      <c r="B30" s="131" t="s">
        <v>58</v>
      </c>
      <c r="C30" s="132"/>
      <c r="D30" s="132"/>
      <c r="E30" s="132"/>
      <c r="F30" s="132"/>
      <c r="G30" s="139"/>
      <c r="H30" s="133"/>
      <c r="I30" s="1"/>
    </row>
    <row r="31" spans="1:9" x14ac:dyDescent="0.25">
      <c r="A31" s="1"/>
      <c r="B31" s="136" t="s">
        <v>59</v>
      </c>
      <c r="C31" s="137"/>
      <c r="D31" s="137"/>
      <c r="E31" s="137"/>
      <c r="F31" s="138"/>
      <c r="G31" s="75">
        <f>(G25+G26-G27)*(1+'Fane 15. Nøgletal'!C12)</f>
        <v>13395050.090376636</v>
      </c>
      <c r="H31" s="14" t="s">
        <v>3</v>
      </c>
      <c r="I31" s="1"/>
    </row>
    <row r="32" spans="1:9" x14ac:dyDescent="0.25">
      <c r="A32" s="1"/>
      <c r="B32" s="136" t="s">
        <v>137</v>
      </c>
      <c r="C32" s="137"/>
      <c r="D32" s="137"/>
      <c r="E32" s="137"/>
      <c r="F32" s="138"/>
      <c r="G32" s="75">
        <v>0</v>
      </c>
      <c r="H32" s="14" t="s">
        <v>3</v>
      </c>
      <c r="I32" s="1"/>
    </row>
    <row r="33" spans="1:9" x14ac:dyDescent="0.25">
      <c r="A33" s="1"/>
      <c r="B33" s="136" t="s">
        <v>60</v>
      </c>
      <c r="C33" s="137"/>
      <c r="D33" s="137"/>
      <c r="E33" s="137"/>
      <c r="F33" s="138"/>
      <c r="G33" s="75">
        <f>(G31+G32)*'Fane 15. Nøgletal'!C31</f>
        <v>267901.00180753274</v>
      </c>
      <c r="H33" s="14" t="s">
        <v>3</v>
      </c>
      <c r="I33" s="1"/>
    </row>
    <row r="34" spans="1:9" x14ac:dyDescent="0.25">
      <c r="A34" s="1"/>
      <c r="B34" s="31"/>
      <c r="C34" s="26"/>
      <c r="D34" s="26"/>
      <c r="E34" s="26"/>
      <c r="F34" s="26"/>
      <c r="G34" s="77"/>
      <c r="H34" s="18"/>
      <c r="I34" s="1"/>
    </row>
    <row r="35" spans="1:9" x14ac:dyDescent="0.25">
      <c r="A35" s="1"/>
      <c r="B35" s="1"/>
      <c r="C35" s="1"/>
      <c r="D35" s="1"/>
      <c r="E35" s="1"/>
      <c r="F35" s="1"/>
      <c r="G35" s="78"/>
      <c r="H35" s="1"/>
      <c r="I35" s="1"/>
    </row>
    <row r="36" spans="1:9" x14ac:dyDescent="0.25">
      <c r="A36" s="1"/>
      <c r="B36" s="131" t="s">
        <v>160</v>
      </c>
      <c r="C36" s="132"/>
      <c r="D36" s="132"/>
      <c r="E36" s="132"/>
      <c r="F36" s="132"/>
      <c r="G36" s="139"/>
      <c r="H36" s="133"/>
      <c r="I36" s="1"/>
    </row>
    <row r="37" spans="1:9" x14ac:dyDescent="0.25">
      <c r="A37" s="1"/>
      <c r="B37" s="136" t="s">
        <v>79</v>
      </c>
      <c r="C37" s="137"/>
      <c r="D37" s="137"/>
      <c r="E37" s="137"/>
      <c r="F37" s="138"/>
      <c r="G37" s="75">
        <f>(G31+G32-G33)*(1+'Fane 15. Nøgletal'!C14)</f>
        <v>13170468.680561382</v>
      </c>
      <c r="H37" s="14" t="s">
        <v>3</v>
      </c>
      <c r="I37" s="1"/>
    </row>
    <row r="38" spans="1:9" x14ac:dyDescent="0.25">
      <c r="A38" s="1"/>
      <c r="B38" s="136" t="s">
        <v>164</v>
      </c>
      <c r="C38" s="137"/>
      <c r="D38" s="137"/>
      <c r="E38" s="137"/>
      <c r="F38" s="138"/>
      <c r="G38" s="75">
        <v>0</v>
      </c>
      <c r="H38" s="14" t="s">
        <v>3</v>
      </c>
      <c r="I38" s="1"/>
    </row>
    <row r="39" spans="1:9" x14ac:dyDescent="0.25">
      <c r="A39" s="1"/>
      <c r="B39" s="136" t="s">
        <v>162</v>
      </c>
      <c r="C39" s="137"/>
      <c r="D39" s="137"/>
      <c r="E39" s="137"/>
      <c r="F39" s="138"/>
      <c r="G39" s="75">
        <f>(G37+G38)*'Fane 15. Nøgletal'!C31</f>
        <v>263409.37361122767</v>
      </c>
      <c r="H39" s="14" t="s">
        <v>3</v>
      </c>
      <c r="I39" s="1"/>
    </row>
    <row r="40" spans="1:9" x14ac:dyDescent="0.25">
      <c r="A40" s="1"/>
      <c r="B40" s="31"/>
      <c r="C40" s="26"/>
      <c r="D40" s="26"/>
      <c r="E40" s="26"/>
      <c r="F40" s="26"/>
      <c r="G40" s="77"/>
      <c r="H40" s="18"/>
      <c r="I40" s="1"/>
    </row>
    <row r="41" spans="1:9" x14ac:dyDescent="0.25">
      <c r="A41" s="1"/>
      <c r="B41" s="1"/>
      <c r="C41" s="1"/>
      <c r="D41" s="1"/>
      <c r="E41" s="1"/>
      <c r="F41" s="1"/>
      <c r="G41" s="78"/>
      <c r="H41" s="1"/>
      <c r="I41" s="1"/>
    </row>
    <row r="42" spans="1:9" x14ac:dyDescent="0.25">
      <c r="A42" s="1"/>
      <c r="B42" s="131" t="s">
        <v>161</v>
      </c>
      <c r="C42" s="132"/>
      <c r="D42" s="132"/>
      <c r="E42" s="132"/>
      <c r="F42" s="132"/>
      <c r="G42" s="139"/>
      <c r="H42" s="133"/>
      <c r="I42" s="1"/>
    </row>
    <row r="43" spans="1:9" x14ac:dyDescent="0.25">
      <c r="A43" s="1"/>
      <c r="B43" s="136" t="s">
        <v>228</v>
      </c>
      <c r="C43" s="137"/>
      <c r="D43" s="137"/>
      <c r="E43" s="137"/>
      <c r="F43" s="138"/>
      <c r="G43" s="75">
        <f>(G37+G38-G39)*(1+'Fane 15. Nøgletal'!C14)</f>
        <v>12949652.60266309</v>
      </c>
      <c r="H43" s="14" t="s">
        <v>3</v>
      </c>
      <c r="I43" s="1"/>
    </row>
    <row r="44" spans="1:9" x14ac:dyDescent="0.25">
      <c r="A44" s="1"/>
      <c r="B44" s="140" t="s">
        <v>230</v>
      </c>
      <c r="C44" s="141"/>
      <c r="D44" s="141"/>
      <c r="E44" s="141"/>
      <c r="F44" s="142"/>
      <c r="G44" s="79">
        <f>('Fane 2.1. Økonomisk ramme 2023'!C10+'Fane 2.1. Økonomisk ramme 2023'!C12+'Fane 2.1. Økonomisk ramme 2023'!C14)*(1+'Fane 15. Nøgletal'!C15)</f>
        <v>0</v>
      </c>
      <c r="H44" s="14" t="s">
        <v>3</v>
      </c>
      <c r="I44" s="1"/>
    </row>
    <row r="45" spans="1:9" x14ac:dyDescent="0.25">
      <c r="A45" s="1"/>
      <c r="B45" s="136" t="s">
        <v>163</v>
      </c>
      <c r="C45" s="137"/>
      <c r="D45" s="137"/>
      <c r="E45" s="137"/>
      <c r="F45" s="138"/>
      <c r="G45" s="75">
        <f>SUM(G43:G44)*'Fane 15. Nøgletal'!C31</f>
        <v>258993.05205326181</v>
      </c>
      <c r="H45" s="14" t="s">
        <v>3</v>
      </c>
      <c r="I45" s="1"/>
    </row>
    <row r="46" spans="1:9" x14ac:dyDescent="0.25">
      <c r="A46" s="1"/>
      <c r="B46" s="31"/>
      <c r="C46" s="26"/>
      <c r="D46" s="26"/>
      <c r="E46" s="26"/>
      <c r="F46" s="26"/>
      <c r="G46" s="77"/>
      <c r="H46" s="18"/>
      <c r="I46" s="1"/>
    </row>
    <row r="47" spans="1:9" x14ac:dyDescent="0.25">
      <c r="A47" s="1"/>
      <c r="B47" s="1"/>
      <c r="C47" s="1"/>
      <c r="D47" s="1"/>
      <c r="E47" s="1"/>
      <c r="F47" s="1"/>
      <c r="G47" s="78"/>
      <c r="H47" s="1"/>
      <c r="I47" s="1"/>
    </row>
    <row r="48" spans="1:9" x14ac:dyDescent="0.25">
      <c r="A48" s="1"/>
      <c r="B48" s="1"/>
      <c r="C48" s="1"/>
      <c r="D48" s="1"/>
      <c r="E48" s="1"/>
      <c r="F48" s="1"/>
      <c r="G48" s="78"/>
      <c r="H48" s="1"/>
      <c r="I48" s="1"/>
    </row>
    <row r="49" spans="1:9" x14ac:dyDescent="0.25">
      <c r="A49" s="1"/>
      <c r="B49" s="1"/>
      <c r="C49" s="1"/>
      <c r="D49" s="1"/>
      <c r="E49" s="1"/>
      <c r="F49" s="1"/>
      <c r="G49" s="78"/>
      <c r="H49" s="1"/>
      <c r="I49" s="1"/>
    </row>
    <row r="50" spans="1:9" x14ac:dyDescent="0.25">
      <c r="A50" s="1"/>
      <c r="B50" s="1"/>
      <c r="C50" s="1"/>
      <c r="D50" s="1"/>
      <c r="E50" s="1"/>
      <c r="F50" s="1"/>
      <c r="G50" s="78"/>
      <c r="H50" s="1"/>
      <c r="I50" s="1"/>
    </row>
    <row r="51" spans="1:9" x14ac:dyDescent="0.25">
      <c r="A51" s="1"/>
      <c r="B51" s="131" t="s">
        <v>241</v>
      </c>
      <c r="C51" s="132"/>
      <c r="D51" s="132"/>
      <c r="E51" s="132"/>
      <c r="F51" s="132"/>
      <c r="G51" s="139"/>
      <c r="H51" s="133"/>
      <c r="I51" s="1"/>
    </row>
    <row r="52" spans="1:9" x14ac:dyDescent="0.25">
      <c r="A52" s="1"/>
      <c r="B52" s="136" t="s">
        <v>227</v>
      </c>
      <c r="C52" s="137"/>
      <c r="D52" s="137"/>
      <c r="E52" s="137"/>
      <c r="F52" s="138"/>
      <c r="G52" s="75">
        <f>(G43+G44-G45)*(1+'Fane 15. Nøgletal'!C15)</f>
        <v>13142447.030611539</v>
      </c>
      <c r="H52" s="14" t="s">
        <v>3</v>
      </c>
      <c r="I52" s="1"/>
    </row>
    <row r="53" spans="1:9" x14ac:dyDescent="0.25">
      <c r="A53" s="1"/>
      <c r="B53" s="136" t="s">
        <v>138</v>
      </c>
      <c r="C53" s="137"/>
      <c r="D53" s="137"/>
      <c r="E53" s="137"/>
      <c r="F53" s="138"/>
      <c r="G53" s="75">
        <f>(G52)*'Fane 15. Nøgletal'!C31</f>
        <v>262848.9406122308</v>
      </c>
      <c r="H53" s="14" t="s">
        <v>3</v>
      </c>
      <c r="I53" s="1"/>
    </row>
    <row r="54" spans="1:9" x14ac:dyDescent="0.25">
      <c r="A54" s="1"/>
      <c r="B54" s="31"/>
      <c r="C54" s="26"/>
      <c r="D54" s="26"/>
      <c r="E54" s="26"/>
      <c r="F54" s="26"/>
      <c r="G54" s="77"/>
      <c r="H54" s="18"/>
      <c r="I54" s="1"/>
    </row>
    <row r="55" spans="1:9" x14ac:dyDescent="0.25">
      <c r="A55" s="1"/>
      <c r="B55" s="1"/>
      <c r="C55" s="1"/>
      <c r="D55" s="1"/>
      <c r="E55" s="1"/>
      <c r="F55" s="1"/>
      <c r="G55" s="78"/>
      <c r="H55" s="1"/>
      <c r="I55" s="1"/>
    </row>
    <row r="56" spans="1:9" x14ac:dyDescent="0.25">
      <c r="A56" s="1"/>
      <c r="B56" s="131" t="s">
        <v>150</v>
      </c>
      <c r="C56" s="132"/>
      <c r="D56" s="132"/>
      <c r="E56" s="132"/>
      <c r="F56" s="132"/>
      <c r="G56" s="139"/>
      <c r="H56" s="133"/>
      <c r="I56" s="1"/>
    </row>
    <row r="57" spans="1:9" x14ac:dyDescent="0.25">
      <c r="A57" s="1"/>
      <c r="B57" s="91" t="s">
        <v>151</v>
      </c>
      <c r="C57" s="92"/>
      <c r="D57" s="92"/>
      <c r="E57" s="92"/>
      <c r="F57" s="93"/>
      <c r="G57" s="75">
        <f>(G52-G53)*(1+'Fane 15. Nøgletal'!C15)</f>
        <v>13338111.782003285</v>
      </c>
      <c r="H57" s="14" t="s">
        <v>3</v>
      </c>
      <c r="I57" s="1"/>
    </row>
    <row r="58" spans="1:9" x14ac:dyDescent="0.25">
      <c r="A58" s="1"/>
      <c r="B58" s="91" t="s">
        <v>152</v>
      </c>
      <c r="C58" s="92"/>
      <c r="D58" s="92"/>
      <c r="E58" s="92"/>
      <c r="F58" s="93"/>
      <c r="G58" s="75">
        <f>(G57)*'Fane 15. Nøgletal'!C31</f>
        <v>266762.23564006569</v>
      </c>
      <c r="H58" s="14" t="s">
        <v>3</v>
      </c>
      <c r="I58" s="1"/>
    </row>
    <row r="59" spans="1:9" x14ac:dyDescent="0.25">
      <c r="A59" s="1"/>
      <c r="B59" s="31"/>
      <c r="C59" s="26"/>
      <c r="D59" s="26"/>
      <c r="E59" s="26"/>
      <c r="F59" s="26"/>
      <c r="G59" s="77"/>
      <c r="H59" s="18"/>
      <c r="I59" s="1"/>
    </row>
    <row r="60" spans="1:9" x14ac:dyDescent="0.25">
      <c r="A60" s="1"/>
      <c r="B60" s="1"/>
      <c r="C60" s="1"/>
      <c r="D60" s="1"/>
      <c r="E60" s="1"/>
      <c r="F60" s="1"/>
      <c r="G60" s="78"/>
      <c r="H60" s="1"/>
      <c r="I60" s="1"/>
    </row>
    <row r="61" spans="1:9" x14ac:dyDescent="0.25">
      <c r="A61" s="1"/>
      <c r="B61" s="131" t="s">
        <v>193</v>
      </c>
      <c r="C61" s="132"/>
      <c r="D61" s="132"/>
      <c r="E61" s="132"/>
      <c r="F61" s="132"/>
      <c r="G61" s="139"/>
      <c r="H61" s="133"/>
      <c r="I61" s="1"/>
    </row>
    <row r="62" spans="1:9" x14ac:dyDescent="0.25">
      <c r="A62" s="1"/>
      <c r="B62" s="91" t="s">
        <v>194</v>
      </c>
      <c r="C62" s="92"/>
      <c r="D62" s="92"/>
      <c r="E62" s="92"/>
      <c r="F62" s="93"/>
      <c r="G62" s="75">
        <f>(G57-G58)*(1+'Fane 15. Nøgletal'!C15)</f>
        <v>13536689.590213751</v>
      </c>
      <c r="H62" s="14" t="s">
        <v>3</v>
      </c>
      <c r="I62" s="1"/>
    </row>
    <row r="63" spans="1:9" x14ac:dyDescent="0.25">
      <c r="A63" s="1"/>
      <c r="B63" s="91" t="s">
        <v>195</v>
      </c>
      <c r="C63" s="92"/>
      <c r="D63" s="92"/>
      <c r="E63" s="92"/>
      <c r="F63" s="93"/>
      <c r="G63" s="75">
        <f>(G62)*'Fane 15. Nøgletal'!C31</f>
        <v>270733.79180427501</v>
      </c>
      <c r="H63" s="14" t="s">
        <v>3</v>
      </c>
      <c r="I63" s="1"/>
    </row>
    <row r="64" spans="1:9" x14ac:dyDescent="0.25">
      <c r="A64" s="1"/>
      <c r="B64" s="31"/>
      <c r="C64" s="26"/>
      <c r="D64" s="26"/>
      <c r="E64" s="26"/>
      <c r="F64" s="26"/>
      <c r="G64" s="26"/>
      <c r="H64" s="18"/>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49"/>
    </row>
  </sheetData>
  <sheetProtection algorithmName="SHA-512" hashValue="YomMyBBvSQTyI1jIRQ9UT0wVNXQ1e1DlcNXHLX0gkS6x7qfeMEkTH61KJ7r89yIq5239Mxe2TklV791SBclWAQ==" saltValue="gqMaRmd4q1kpodwl5A3ugw=="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6.42578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31" t="s">
        <v>56</v>
      </c>
      <c r="C4" s="132"/>
      <c r="D4" s="132"/>
      <c r="E4" s="132"/>
      <c r="F4" s="132"/>
      <c r="G4" s="132"/>
      <c r="H4" s="133"/>
      <c r="I4" s="1"/>
    </row>
    <row r="5" spans="1:9" x14ac:dyDescent="0.25">
      <c r="A5" s="1"/>
      <c r="B5" s="136" t="s">
        <v>61</v>
      </c>
      <c r="C5" s="137"/>
      <c r="D5" s="137"/>
      <c r="E5" s="137"/>
      <c r="F5" s="138"/>
      <c r="G5" s="75">
        <v>9445010</v>
      </c>
      <c r="H5" s="14" t="s">
        <v>3</v>
      </c>
      <c r="I5" s="1"/>
    </row>
    <row r="6" spans="1:9" x14ac:dyDescent="0.25">
      <c r="A6" s="1"/>
      <c r="B6" s="136" t="s">
        <v>57</v>
      </c>
      <c r="C6" s="137"/>
      <c r="D6" s="137"/>
      <c r="E6" s="137"/>
      <c r="F6" s="138"/>
      <c r="G6" s="75">
        <f>G5*'Fane 15. Nøgletal'!C20</f>
        <v>85949.591</v>
      </c>
      <c r="H6" s="14" t="s">
        <v>3</v>
      </c>
      <c r="I6" s="1"/>
    </row>
    <row r="7" spans="1:9" x14ac:dyDescent="0.25">
      <c r="A7" s="1"/>
      <c r="B7" s="31"/>
      <c r="C7" s="26"/>
      <c r="D7" s="26"/>
      <c r="E7" s="26"/>
      <c r="F7" s="26"/>
      <c r="G7" s="77"/>
      <c r="H7" s="18"/>
      <c r="I7" s="1"/>
    </row>
    <row r="8" spans="1:9" x14ac:dyDescent="0.25">
      <c r="A8" s="1"/>
      <c r="B8" s="1"/>
      <c r="C8" s="1"/>
      <c r="D8" s="1"/>
      <c r="E8" s="1"/>
      <c r="F8" s="1"/>
      <c r="G8" s="78"/>
      <c r="H8" s="1"/>
      <c r="I8" s="1"/>
    </row>
    <row r="9" spans="1:9" x14ac:dyDescent="0.25">
      <c r="A9" s="1"/>
      <c r="B9" s="131" t="s">
        <v>62</v>
      </c>
      <c r="C9" s="132"/>
      <c r="D9" s="132"/>
      <c r="E9" s="132"/>
      <c r="F9" s="132"/>
      <c r="G9" s="139"/>
      <c r="H9" s="133"/>
      <c r="I9" s="1"/>
    </row>
    <row r="10" spans="1:9" x14ac:dyDescent="0.25">
      <c r="A10" s="1"/>
      <c r="B10" s="136" t="s">
        <v>63</v>
      </c>
      <c r="C10" s="137"/>
      <c r="D10" s="137"/>
      <c r="E10" s="137"/>
      <c r="F10" s="138"/>
      <c r="G10" s="75">
        <f>(G5-G6)*(1+'Fane 15. Nøgletal'!C10)</f>
        <v>9522843.9661575016</v>
      </c>
      <c r="H10" s="14" t="s">
        <v>3</v>
      </c>
      <c r="I10" s="1"/>
    </row>
    <row r="11" spans="1:9" x14ac:dyDescent="0.25">
      <c r="A11" s="1"/>
      <c r="B11" s="136" t="s">
        <v>122</v>
      </c>
      <c r="C11" s="137"/>
      <c r="D11" s="137"/>
      <c r="E11" s="137"/>
      <c r="F11" s="138"/>
      <c r="G11" s="75">
        <v>-1603923.157155863</v>
      </c>
      <c r="H11" s="14" t="s">
        <v>3</v>
      </c>
      <c r="I11" s="1"/>
    </row>
    <row r="12" spans="1:9" x14ac:dyDescent="0.25">
      <c r="A12" s="1"/>
      <c r="B12" s="143" t="s">
        <v>64</v>
      </c>
      <c r="C12" s="144"/>
      <c r="D12" s="144"/>
      <c r="E12" s="144"/>
      <c r="F12" s="145"/>
      <c r="G12" s="76">
        <v>0</v>
      </c>
      <c r="H12" s="14" t="s">
        <v>3</v>
      </c>
      <c r="I12" s="1"/>
    </row>
    <row r="13" spans="1:9" x14ac:dyDescent="0.25">
      <c r="A13" s="1"/>
      <c r="B13" s="136" t="s">
        <v>65</v>
      </c>
      <c r="C13" s="137"/>
      <c r="D13" s="137"/>
      <c r="E13" s="137"/>
      <c r="F13" s="138"/>
      <c r="G13" s="75">
        <f>SUM(G10:G12)*'Fane 15. Nøgletal'!C21</f>
        <v>140164.89831932902</v>
      </c>
      <c r="H13" s="14" t="s">
        <v>3</v>
      </c>
      <c r="I13" s="1"/>
    </row>
    <row r="14" spans="1:9" x14ac:dyDescent="0.25">
      <c r="A14" s="1"/>
      <c r="B14" s="31"/>
      <c r="C14" s="26"/>
      <c r="D14" s="26"/>
      <c r="E14" s="26"/>
      <c r="F14" s="26"/>
      <c r="G14" s="77"/>
      <c r="H14" s="18"/>
      <c r="I14" s="1"/>
    </row>
    <row r="15" spans="1:9" x14ac:dyDescent="0.25">
      <c r="A15" s="1"/>
      <c r="B15" s="1"/>
      <c r="C15" s="1"/>
      <c r="D15" s="1"/>
      <c r="E15" s="1"/>
      <c r="F15" s="1"/>
      <c r="G15" s="78"/>
      <c r="H15" s="1"/>
      <c r="I15" s="1"/>
    </row>
    <row r="16" spans="1:9" x14ac:dyDescent="0.25">
      <c r="A16" s="1"/>
      <c r="B16" s="131" t="s">
        <v>66</v>
      </c>
      <c r="C16" s="132"/>
      <c r="D16" s="132"/>
      <c r="E16" s="132"/>
      <c r="F16" s="132"/>
      <c r="G16" s="139"/>
      <c r="H16" s="133"/>
      <c r="I16" s="1"/>
    </row>
    <row r="17" spans="1:9" x14ac:dyDescent="0.25">
      <c r="A17" s="1"/>
      <c r="B17" s="136" t="s">
        <v>67</v>
      </c>
      <c r="C17" s="137"/>
      <c r="D17" s="137"/>
      <c r="E17" s="137"/>
      <c r="F17" s="138"/>
      <c r="G17" s="75">
        <f>(SUM(G10:G12)-G13)*(1+'Fane 15. Nøgletal'!C10)</f>
        <v>7914884.1391192507</v>
      </c>
      <c r="H17" s="14" t="s">
        <v>3</v>
      </c>
      <c r="I17" s="1"/>
    </row>
    <row r="18" spans="1:9" x14ac:dyDescent="0.25">
      <c r="A18" s="1"/>
      <c r="B18" s="143" t="s">
        <v>68</v>
      </c>
      <c r="C18" s="144"/>
      <c r="D18" s="144"/>
      <c r="E18" s="144"/>
      <c r="F18" s="145"/>
      <c r="G18" s="75">
        <v>0</v>
      </c>
      <c r="H18" s="14" t="s">
        <v>3</v>
      </c>
      <c r="I18" s="1"/>
    </row>
    <row r="19" spans="1:9" x14ac:dyDescent="0.25">
      <c r="A19" s="1"/>
      <c r="B19" s="136" t="s">
        <v>69</v>
      </c>
      <c r="C19" s="137"/>
      <c r="D19" s="137"/>
      <c r="E19" s="137"/>
      <c r="F19" s="138"/>
      <c r="G19" s="75">
        <f>G17*'Fane 15. Nøgletal'!C21+G18*'Fane 15. Nøgletal'!C22</f>
        <v>140093.44926241075</v>
      </c>
      <c r="H19" s="14" t="s">
        <v>3</v>
      </c>
      <c r="I19" s="1"/>
    </row>
    <row r="20" spans="1:9" x14ac:dyDescent="0.25">
      <c r="A20" s="1"/>
      <c r="B20" s="31"/>
      <c r="C20" s="26"/>
      <c r="D20" s="26"/>
      <c r="E20" s="26"/>
      <c r="F20" s="26"/>
      <c r="G20" s="77"/>
      <c r="H20" s="18"/>
      <c r="I20" s="1"/>
    </row>
    <row r="21" spans="1:9" x14ac:dyDescent="0.25">
      <c r="A21" s="1"/>
      <c r="B21" s="1"/>
      <c r="C21" s="1"/>
      <c r="D21" s="1"/>
      <c r="E21" s="1"/>
      <c r="F21" s="1"/>
      <c r="G21" s="78"/>
      <c r="H21" s="1"/>
      <c r="I21" s="1"/>
    </row>
    <row r="22" spans="1:9" x14ac:dyDescent="0.25">
      <c r="A22" s="1"/>
      <c r="B22" s="131" t="s">
        <v>70</v>
      </c>
      <c r="C22" s="132"/>
      <c r="D22" s="132"/>
      <c r="E22" s="132"/>
      <c r="F22" s="132"/>
      <c r="G22" s="139"/>
      <c r="H22" s="133"/>
      <c r="I22" s="1"/>
    </row>
    <row r="23" spans="1:9" x14ac:dyDescent="0.25">
      <c r="A23" s="1"/>
      <c r="B23" s="136" t="s">
        <v>71</v>
      </c>
      <c r="C23" s="137"/>
      <c r="D23" s="137"/>
      <c r="E23" s="137"/>
      <c r="F23" s="138"/>
      <c r="G23" s="75">
        <f>(G17+G18-G19)*(1+'Fane 15. Nøgletal'!C12)</f>
        <v>7927954.0664470205</v>
      </c>
      <c r="H23" s="14" t="s">
        <v>3</v>
      </c>
      <c r="I23" s="1"/>
    </row>
    <row r="24" spans="1:9" x14ac:dyDescent="0.25">
      <c r="A24" s="1"/>
      <c r="B24" s="143" t="s">
        <v>72</v>
      </c>
      <c r="C24" s="144"/>
      <c r="D24" s="144"/>
      <c r="E24" s="144"/>
      <c r="F24" s="145"/>
      <c r="G24" s="75">
        <v>0</v>
      </c>
      <c r="H24" s="14" t="s">
        <v>3</v>
      </c>
      <c r="I24" s="1"/>
    </row>
    <row r="25" spans="1:9" x14ac:dyDescent="0.25">
      <c r="A25" s="1"/>
      <c r="B25" s="136" t="s">
        <v>73</v>
      </c>
      <c r="C25" s="137"/>
      <c r="D25" s="137"/>
      <c r="E25" s="137"/>
      <c r="F25" s="138"/>
      <c r="G25" s="75">
        <f>(G23+G24)*'Fane 15. Nøgletal'!C23</f>
        <v>225153.8954870954</v>
      </c>
      <c r="H25" s="14" t="s">
        <v>3</v>
      </c>
      <c r="I25" s="1"/>
    </row>
    <row r="26" spans="1:9" x14ac:dyDescent="0.25">
      <c r="A26" s="1"/>
      <c r="B26" s="31"/>
      <c r="C26" s="26"/>
      <c r="D26" s="26"/>
      <c r="E26" s="26"/>
      <c r="F26" s="26"/>
      <c r="G26" s="77"/>
      <c r="H26" s="18"/>
      <c r="I26" s="1"/>
    </row>
    <row r="27" spans="1:9" x14ac:dyDescent="0.25">
      <c r="A27" s="1"/>
      <c r="B27" s="1"/>
      <c r="C27" s="1"/>
      <c r="D27" s="1"/>
      <c r="E27" s="1"/>
      <c r="F27" s="1"/>
      <c r="G27" s="78"/>
      <c r="H27" s="1"/>
      <c r="I27" s="1"/>
    </row>
    <row r="28" spans="1:9" x14ac:dyDescent="0.25">
      <c r="A28" s="1"/>
      <c r="B28" s="131" t="s">
        <v>74</v>
      </c>
      <c r="C28" s="132"/>
      <c r="D28" s="132"/>
      <c r="E28" s="132"/>
      <c r="F28" s="132"/>
      <c r="G28" s="139"/>
      <c r="H28" s="133"/>
      <c r="I28" s="1"/>
    </row>
    <row r="29" spans="1:9" x14ac:dyDescent="0.25">
      <c r="A29" s="1"/>
      <c r="B29" s="136" t="s">
        <v>75</v>
      </c>
      <c r="C29" s="137"/>
      <c r="D29" s="137"/>
      <c r="E29" s="137"/>
      <c r="F29" s="138"/>
      <c r="G29" s="75">
        <f>(G23+G24-G25)*(1+'Fane 15. Nøgletal'!C12)</f>
        <v>7854545.3343278365</v>
      </c>
      <c r="H29" s="14" t="s">
        <v>3</v>
      </c>
      <c r="I29" s="1"/>
    </row>
    <row r="30" spans="1:9" x14ac:dyDescent="0.25">
      <c r="A30" s="1"/>
      <c r="B30" s="136" t="s">
        <v>139</v>
      </c>
      <c r="C30" s="137"/>
      <c r="D30" s="137"/>
      <c r="E30" s="137"/>
      <c r="F30" s="138"/>
      <c r="G30" s="75">
        <v>2071155.19197636</v>
      </c>
      <c r="H30" s="14" t="s">
        <v>3</v>
      </c>
      <c r="I30" s="1"/>
    </row>
    <row r="31" spans="1:9" x14ac:dyDescent="0.25">
      <c r="A31" s="1"/>
      <c r="B31" s="136" t="s">
        <v>76</v>
      </c>
      <c r="C31" s="137"/>
      <c r="D31" s="137"/>
      <c r="E31" s="137"/>
      <c r="F31" s="138"/>
      <c r="G31" s="75">
        <f>G29*'Fane 15. Nøgletal'!C23+G30*'Fane 15. Nøgletal'!C24</f>
        <v>280025.85527426051</v>
      </c>
      <c r="H31" s="14" t="s">
        <v>3</v>
      </c>
      <c r="I31" s="1"/>
    </row>
    <row r="32" spans="1:9" x14ac:dyDescent="0.25">
      <c r="A32" s="1"/>
      <c r="B32" s="31"/>
      <c r="C32" s="26"/>
      <c r="D32" s="26"/>
      <c r="E32" s="26"/>
      <c r="F32" s="26"/>
      <c r="G32" s="77"/>
      <c r="H32" s="18"/>
      <c r="I32" s="1"/>
    </row>
    <row r="33" spans="1:9" x14ac:dyDescent="0.25">
      <c r="A33" s="1"/>
      <c r="B33" s="1"/>
      <c r="C33" s="1"/>
      <c r="D33" s="1"/>
      <c r="E33" s="1"/>
      <c r="F33" s="1"/>
      <c r="G33" s="78"/>
      <c r="H33" s="1"/>
      <c r="I33" s="1"/>
    </row>
    <row r="34" spans="1:9" x14ac:dyDescent="0.25">
      <c r="A34" s="1"/>
      <c r="B34" s="131" t="s">
        <v>165</v>
      </c>
      <c r="C34" s="132"/>
      <c r="D34" s="132"/>
      <c r="E34" s="132"/>
      <c r="F34" s="132"/>
      <c r="G34" s="139"/>
      <c r="H34" s="133"/>
      <c r="I34" s="1"/>
    </row>
    <row r="35" spans="1:9" x14ac:dyDescent="0.25">
      <c r="A35" s="1"/>
      <c r="B35" s="136" t="s">
        <v>78</v>
      </c>
      <c r="C35" s="137"/>
      <c r="D35" s="137"/>
      <c r="E35" s="137"/>
      <c r="F35" s="138"/>
      <c r="G35" s="75">
        <f>(G29+G30-G31)*(1+'Fane 15. Nøgletal'!C14)</f>
        <v>9677505.3974443357</v>
      </c>
      <c r="H35" s="14" t="s">
        <v>3</v>
      </c>
      <c r="I35" s="1"/>
    </row>
    <row r="36" spans="1:9" x14ac:dyDescent="0.25">
      <c r="A36" s="1"/>
      <c r="B36" s="136" t="s">
        <v>167</v>
      </c>
      <c r="C36" s="137"/>
      <c r="D36" s="137"/>
      <c r="E36" s="137"/>
      <c r="F36" s="138"/>
      <c r="G36" s="75">
        <v>0</v>
      </c>
      <c r="H36" s="14" t="s">
        <v>3</v>
      </c>
      <c r="I36" s="1"/>
    </row>
    <row r="37" spans="1:9" x14ac:dyDescent="0.25">
      <c r="A37" s="1"/>
      <c r="B37" s="136" t="s">
        <v>166</v>
      </c>
      <c r="C37" s="137"/>
      <c r="D37" s="137"/>
      <c r="E37" s="137"/>
      <c r="F37" s="138"/>
      <c r="G37" s="75">
        <f>(G35+G36)*'Fane 15. Nøgletal'!C25</f>
        <v>143227.07988217619</v>
      </c>
      <c r="H37" s="14" t="s">
        <v>3</v>
      </c>
      <c r="I37" s="1"/>
    </row>
    <row r="38" spans="1:9" x14ac:dyDescent="0.25">
      <c r="A38" s="1"/>
      <c r="B38" s="31"/>
      <c r="C38" s="26"/>
      <c r="D38" s="26"/>
      <c r="E38" s="26"/>
      <c r="F38" s="26"/>
      <c r="G38" s="77"/>
      <c r="H38" s="18"/>
      <c r="I38" s="1"/>
    </row>
    <row r="39" spans="1:9" x14ac:dyDescent="0.25">
      <c r="A39" s="1"/>
      <c r="B39" s="1"/>
      <c r="C39" s="1"/>
      <c r="D39" s="1"/>
      <c r="E39" s="1"/>
      <c r="F39" s="1"/>
      <c r="G39" s="78"/>
      <c r="H39" s="1"/>
      <c r="I39" s="1"/>
    </row>
    <row r="40" spans="1:9" x14ac:dyDescent="0.25">
      <c r="A40" s="1"/>
      <c r="B40" s="131" t="s">
        <v>221</v>
      </c>
      <c r="C40" s="132"/>
      <c r="D40" s="132"/>
      <c r="E40" s="132"/>
      <c r="F40" s="132"/>
      <c r="G40" s="139"/>
      <c r="H40" s="133"/>
      <c r="I40" s="1"/>
    </row>
    <row r="41" spans="1:9" x14ac:dyDescent="0.25">
      <c r="A41" s="1"/>
      <c r="B41" s="136" t="s">
        <v>77</v>
      </c>
      <c r="C41" s="137"/>
      <c r="D41" s="137"/>
      <c r="E41" s="137"/>
      <c r="F41" s="138"/>
      <c r="G41" s="75">
        <f>(G35+G36-G37)*(1+'Fane 15. Nøgletal'!C14)</f>
        <v>9565741.4360101148</v>
      </c>
      <c r="H41" s="14" t="s">
        <v>3</v>
      </c>
      <c r="I41" s="1"/>
    </row>
    <row r="42" spans="1:9" x14ac:dyDescent="0.25">
      <c r="A42" s="1"/>
      <c r="B42" s="42" t="s">
        <v>229</v>
      </c>
      <c r="C42" s="92"/>
      <c r="D42" s="92"/>
      <c r="E42" s="92"/>
      <c r="F42" s="93"/>
      <c r="G42" s="79">
        <f>('Fane 2.1. Økonomisk ramme 2023'!C11+'Fane 2.1. Økonomisk ramme 2023'!C13+'Fane 2.1. Økonomisk ramme 2023'!C15)*(1+'Fane 15. Nøgletal'!C15)</f>
        <v>0</v>
      </c>
      <c r="H42" s="14" t="s">
        <v>3</v>
      </c>
      <c r="I42" s="1"/>
    </row>
    <row r="43" spans="1:9" x14ac:dyDescent="0.25">
      <c r="A43" s="1"/>
      <c r="B43" s="136" t="s">
        <v>168</v>
      </c>
      <c r="C43" s="137"/>
      <c r="D43" s="137"/>
      <c r="E43" s="137"/>
      <c r="F43" s="138"/>
      <c r="G43" s="75">
        <f>(G41)*'Fane 15. Nøgletal'!C25+G42*'Fane 15. Nøgletal'!C26</f>
        <v>141572.97325294971</v>
      </c>
      <c r="H43" s="14" t="s">
        <v>3</v>
      </c>
      <c r="I43" s="1"/>
    </row>
    <row r="44" spans="1:9" x14ac:dyDescent="0.25">
      <c r="A44" s="1"/>
      <c r="B44" s="31"/>
      <c r="C44" s="26"/>
      <c r="D44" s="26"/>
      <c r="E44" s="26"/>
      <c r="F44" s="26"/>
      <c r="G44" s="77"/>
      <c r="H44" s="18"/>
      <c r="I44" s="1"/>
    </row>
    <row r="45" spans="1:9" x14ac:dyDescent="0.25">
      <c r="A45" s="1"/>
      <c r="B45" s="1"/>
      <c r="C45" s="1"/>
      <c r="D45" s="1"/>
      <c r="E45" s="1"/>
      <c r="F45" s="1"/>
      <c r="G45" s="78"/>
      <c r="H45" s="1"/>
      <c r="I45" s="1"/>
    </row>
    <row r="46" spans="1:9" x14ac:dyDescent="0.25">
      <c r="A46" s="1"/>
      <c r="B46" s="1"/>
      <c r="C46" s="1"/>
      <c r="D46" s="1"/>
      <c r="E46" s="1"/>
      <c r="F46" s="1"/>
      <c r="G46" s="78"/>
      <c r="H46" s="1"/>
      <c r="I46" s="1"/>
    </row>
    <row r="47" spans="1:9" x14ac:dyDescent="0.25">
      <c r="A47" s="1"/>
      <c r="B47" s="1"/>
      <c r="C47" s="1"/>
      <c r="D47" s="1"/>
      <c r="E47" s="1"/>
      <c r="F47" s="1"/>
      <c r="G47" s="78"/>
      <c r="H47" s="1"/>
      <c r="I47" s="1"/>
    </row>
    <row r="48" spans="1:9" x14ac:dyDescent="0.25">
      <c r="A48" s="1"/>
      <c r="B48" s="1"/>
      <c r="C48" s="1"/>
      <c r="D48" s="1"/>
      <c r="E48" s="1"/>
      <c r="F48" s="1"/>
      <c r="G48" s="78"/>
      <c r="H48" s="1"/>
      <c r="I48" s="1"/>
    </row>
    <row r="49" spans="1:9" x14ac:dyDescent="0.25">
      <c r="A49" s="1"/>
      <c r="B49" s="1"/>
      <c r="C49" s="1"/>
      <c r="D49" s="1"/>
      <c r="E49" s="1"/>
      <c r="F49" s="1"/>
      <c r="G49" s="78"/>
      <c r="H49" s="1"/>
      <c r="I49" s="1"/>
    </row>
    <row r="50" spans="1:9" x14ac:dyDescent="0.25">
      <c r="A50" s="1"/>
      <c r="B50" s="1"/>
      <c r="C50" s="1"/>
      <c r="D50" s="1"/>
      <c r="E50" s="1"/>
      <c r="F50" s="1"/>
      <c r="G50" s="78"/>
      <c r="H50" s="1"/>
      <c r="I50" s="1"/>
    </row>
    <row r="51" spans="1:9" x14ac:dyDescent="0.25">
      <c r="A51" s="1"/>
      <c r="B51" s="1"/>
      <c r="C51" s="1"/>
      <c r="D51" s="1"/>
      <c r="E51" s="1"/>
      <c r="F51" s="1"/>
      <c r="G51" s="78"/>
      <c r="H51" s="1"/>
      <c r="I51" s="1"/>
    </row>
    <row r="52" spans="1:9" x14ac:dyDescent="0.25">
      <c r="A52" s="1"/>
      <c r="B52" s="131" t="s">
        <v>242</v>
      </c>
      <c r="C52" s="132"/>
      <c r="D52" s="132"/>
      <c r="E52" s="132"/>
      <c r="F52" s="132"/>
      <c r="G52" s="139"/>
      <c r="H52" s="133"/>
      <c r="I52" s="1"/>
    </row>
    <row r="53" spans="1:9" x14ac:dyDescent="0.25">
      <c r="A53" s="1"/>
      <c r="B53" s="136" t="s">
        <v>140</v>
      </c>
      <c r="C53" s="137"/>
      <c r="D53" s="137"/>
      <c r="E53" s="137"/>
      <c r="F53" s="138"/>
      <c r="G53" s="75">
        <f>(G41+G42-G43)*(1+'Fane 15. Nøgletal'!C15)</f>
        <v>9759668.8600313198</v>
      </c>
      <c r="H53" s="14" t="s">
        <v>3</v>
      </c>
      <c r="I53" s="1"/>
    </row>
    <row r="54" spans="1:9" x14ac:dyDescent="0.25">
      <c r="A54" s="1"/>
      <c r="B54" s="136" t="s">
        <v>141</v>
      </c>
      <c r="C54" s="137"/>
      <c r="D54" s="137"/>
      <c r="E54" s="137"/>
      <c r="F54" s="138"/>
      <c r="G54" s="75">
        <f>(G53)*'Fane 15. Nøgletal'!C26</f>
        <v>0</v>
      </c>
      <c r="H54" s="14" t="s">
        <v>3</v>
      </c>
      <c r="I54" s="1"/>
    </row>
    <row r="55" spans="1:9" x14ac:dyDescent="0.25">
      <c r="A55" s="1"/>
      <c r="B55" s="31"/>
      <c r="C55" s="26"/>
      <c r="D55" s="26"/>
      <c r="E55" s="26"/>
      <c r="F55" s="26"/>
      <c r="G55" s="77"/>
      <c r="H55" s="18"/>
      <c r="I55" s="1"/>
    </row>
    <row r="56" spans="1:9" x14ac:dyDescent="0.25">
      <c r="A56" s="1"/>
      <c r="B56" s="1"/>
      <c r="C56" s="1"/>
      <c r="D56" s="1"/>
      <c r="E56" s="1"/>
      <c r="F56" s="1"/>
      <c r="G56" s="78"/>
      <c r="H56" s="1"/>
      <c r="I56" s="1"/>
    </row>
    <row r="57" spans="1:9" x14ac:dyDescent="0.25">
      <c r="A57" s="1"/>
      <c r="B57" s="131" t="s">
        <v>153</v>
      </c>
      <c r="C57" s="132"/>
      <c r="D57" s="132"/>
      <c r="E57" s="132"/>
      <c r="F57" s="132"/>
      <c r="G57" s="139"/>
      <c r="H57" s="133"/>
      <c r="I57" s="1"/>
    </row>
    <row r="58" spans="1:9" x14ac:dyDescent="0.25">
      <c r="A58" s="1"/>
      <c r="B58" s="136" t="s">
        <v>173</v>
      </c>
      <c r="C58" s="137"/>
      <c r="D58" s="137"/>
      <c r="E58" s="137"/>
      <c r="F58" s="138"/>
      <c r="G58" s="75">
        <f>(G53-G54)*(1+'Fane 15. Nøgletal'!C15)</f>
        <v>10107113.071448436</v>
      </c>
      <c r="H58" s="14" t="s">
        <v>3</v>
      </c>
      <c r="I58" s="1"/>
    </row>
    <row r="59" spans="1:9" x14ac:dyDescent="0.25">
      <c r="A59" s="1"/>
      <c r="B59" s="136" t="s">
        <v>174</v>
      </c>
      <c r="C59" s="137"/>
      <c r="D59" s="137"/>
      <c r="E59" s="137"/>
      <c r="F59" s="138"/>
      <c r="G59" s="75">
        <f>(G58)*'Fane 15. Nøgletal'!C26</f>
        <v>0</v>
      </c>
      <c r="H59" s="14" t="s">
        <v>3</v>
      </c>
      <c r="I59" s="1"/>
    </row>
    <row r="60" spans="1:9" x14ac:dyDescent="0.25">
      <c r="A60" s="1"/>
      <c r="B60" s="31"/>
      <c r="C60" s="26"/>
      <c r="D60" s="26"/>
      <c r="E60" s="26"/>
      <c r="F60" s="26"/>
      <c r="G60" s="77"/>
      <c r="H60" s="18"/>
      <c r="I60" s="1"/>
    </row>
    <row r="61" spans="1:9" x14ac:dyDescent="0.25">
      <c r="A61" s="1"/>
      <c r="B61" s="1"/>
      <c r="C61" s="1"/>
      <c r="D61" s="1"/>
      <c r="E61" s="1"/>
      <c r="F61" s="1"/>
      <c r="G61" s="78"/>
      <c r="H61" s="1"/>
      <c r="I61" s="1"/>
    </row>
    <row r="62" spans="1:9" x14ac:dyDescent="0.25">
      <c r="A62" s="1"/>
      <c r="B62" s="131" t="s">
        <v>196</v>
      </c>
      <c r="C62" s="132"/>
      <c r="D62" s="132"/>
      <c r="E62" s="132"/>
      <c r="F62" s="132"/>
      <c r="G62" s="139"/>
      <c r="H62" s="133"/>
      <c r="I62" s="1"/>
    </row>
    <row r="63" spans="1:9" x14ac:dyDescent="0.25">
      <c r="A63" s="1"/>
      <c r="B63" s="136" t="s">
        <v>197</v>
      </c>
      <c r="C63" s="137"/>
      <c r="D63" s="137"/>
      <c r="E63" s="137"/>
      <c r="F63" s="138"/>
      <c r="G63" s="75">
        <f>(G58-G59)*(1+'Fane 15. Nøgletal'!C15)</f>
        <v>10466926.296792001</v>
      </c>
      <c r="H63" s="14" t="s">
        <v>3</v>
      </c>
      <c r="I63" s="1"/>
    </row>
    <row r="64" spans="1:9" x14ac:dyDescent="0.25">
      <c r="A64" s="1"/>
      <c r="B64" s="136" t="s">
        <v>198</v>
      </c>
      <c r="C64" s="137"/>
      <c r="D64" s="137"/>
      <c r="E64" s="137"/>
      <c r="F64" s="138"/>
      <c r="G64" s="75">
        <f>(G63)*'Fane 15. Nøgletal'!C26</f>
        <v>0</v>
      </c>
      <c r="H64" s="14" t="s">
        <v>3</v>
      </c>
      <c r="I64" s="1"/>
    </row>
    <row r="65" spans="1:9" x14ac:dyDescent="0.25">
      <c r="A65" s="1"/>
      <c r="B65" s="31"/>
      <c r="C65" s="26"/>
      <c r="D65" s="26"/>
      <c r="E65" s="26"/>
      <c r="F65" s="26"/>
      <c r="G65" s="26"/>
      <c r="H65" s="18"/>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AzGbh9U3e9FgId5J1lc4koHJixpuY+pqqbdlUcw8MBkSZeyDaP5iF9FbsQpZF201IEdhXp2BYH+BKl1UHI0Sw==" saltValue="ZTyKI2xWn2PWYKbKeE8SmQ=="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2"/>
      <c r="H8" s="1"/>
    </row>
    <row r="9" spans="1:8" x14ac:dyDescent="0.25">
      <c r="A9" s="1"/>
      <c r="B9" s="136" t="s">
        <v>154</v>
      </c>
      <c r="C9" s="137"/>
      <c r="D9" s="137"/>
      <c r="E9" s="137"/>
      <c r="F9" s="138"/>
      <c r="G9" s="34">
        <v>2.671269934074288E-3</v>
      </c>
      <c r="H9" s="1"/>
    </row>
    <row r="10" spans="1:8" x14ac:dyDescent="0.25">
      <c r="A10" s="1"/>
      <c r="B10" s="31"/>
      <c r="C10" s="26"/>
      <c r="D10" s="26"/>
      <c r="E10" s="26"/>
      <c r="F10" s="26"/>
      <c r="G10" s="26"/>
      <c r="H10" s="1"/>
    </row>
    <row r="11" spans="1:8" ht="29.25" customHeight="1" x14ac:dyDescent="0.25">
      <c r="A11" s="1"/>
      <c r="B11" s="148" t="s">
        <v>236</v>
      </c>
      <c r="C11" s="149"/>
      <c r="D11" s="149"/>
      <c r="E11" s="149"/>
      <c r="F11" s="149"/>
      <c r="G11" s="149"/>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R6AvdJi4JyNY5KBaIJOzUsgWBe5iiMO+lsZiFtzcBs7lYgHBG1VEpGFmKAfg7tfE6TUNsDoS8Zl+kKhqM/n3bA==" saltValue="Wo/zzInme9lneAs/pUQVV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2022-12-06T11:16:49Z</dcterms:modified>
</cp:coreProperties>
</file>