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Ikast-Brande Spildevand AS (S052)\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4" i="32" l="1"/>
  <c r="E32" i="32" s="1"/>
  <c r="E34" i="32" s="1"/>
  <c r="C20" i="23" l="1"/>
  <c r="C20" i="22"/>
  <c r="C20" i="15"/>
  <c r="E28" i="32"/>
  <c r="C32" i="2" s="1"/>
  <c r="C15" i="19"/>
  <c r="E34" i="27" l="1"/>
  <c r="C22" i="23"/>
  <c r="C22" i="22"/>
  <c r="C22" i="15"/>
  <c r="C36" i="2"/>
  <c r="G18" i="41" l="1"/>
  <c r="C13" i="37" l="1"/>
  <c r="E13" i="37"/>
  <c r="F12" i="11" l="1"/>
  <c r="F11" i="11" l="1"/>
  <c r="F13" i="11"/>
  <c r="F14" i="11"/>
  <c r="F15" i="11"/>
  <c r="C11" i="29" l="1"/>
  <c r="E11" i="29"/>
  <c r="E11" i="39"/>
  <c r="C11" i="39"/>
  <c r="J16" i="11"/>
  <c r="H16" i="11"/>
  <c r="E16" i="27" l="1"/>
  <c r="E29" i="20" l="1"/>
  <c r="E23" i="20"/>
  <c r="E17" i="20"/>
  <c r="E11" i="20"/>
  <c r="F10" i="11" l="1"/>
  <c r="F16"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4" i="37" l="1"/>
  <c r="C10" i="2" s="1"/>
  <c r="G44" i="30" s="1"/>
  <c r="G35" i="36"/>
  <c r="G37" i="36" l="1"/>
  <c r="E19" i="27" s="1"/>
  <c r="G41" i="36" l="1"/>
  <c r="G27" i="30"/>
  <c r="G31" i="30" l="1"/>
  <c r="E10" i="37"/>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<sst xmlns="http://schemas.openxmlformats.org/spreadsheetml/2006/main" count="637" uniqueCount="296">
  <si>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</si>
  <si>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</si>
  <si>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</si>
  <si>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</si>
  <si>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</si>
  <si>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</si>
  <si>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</si>
  <si>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</si>
  <si>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</si>
  <si>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</si>
  <si>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</si>
  <si>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</si>
  <si>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</si>
  <si>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</si>
  <si>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</si>
  <si>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</si>
  <si>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</si>
  <si>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</si>
  <si>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</si>
  <si>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</si>
  <si>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</si>
  <si>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</si>
  <si>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</si>
  <si>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</si>
  <si>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</si>
  <si>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</si>
  <si>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</si>
  <si>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</si>
  <si>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</si>
  <si>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</si>
  <si>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</si>
  <si>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</si>
  <si>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</si>
  <si>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</si>
  <si>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</si>
  <si>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</si>
  <si>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</si>
  <si>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</si>
  <si>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</si>
  <si>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</si>
  <si>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</si>
  <si>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</si>
  <si>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</si>
  <si>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</si>
  <si>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</si>
  <si>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</si>
  <si>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</si>
  <si>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</si>
  <si>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</si>
  <si>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</si>
  <si>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</si>
  <si>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</si>
  <si>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</si>
  <si>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</si>
  <si>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</si>
  <si>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</si>
  <si>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</si>
  <si>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</si>
  <si>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</si>
  <si>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</si>
  <si>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</si>
  <si>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</si>
  <si>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</si>
  <si>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</si>
  <si>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</si>
  <si>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</si>
  <si>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</si>
  <si>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</si>
  <si>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</si>
  <si>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</si>
  <si>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</si>
  <si>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</si>
  <si>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</si>
  <si>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</si>
  <si>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</si>
  <si>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</si>
  <si>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</si>
  <si>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</si>
  <si>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</si>
  <si>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</si>
  <si>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</si>
  <si>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</si>
  <si>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</si>
  <si>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</si>
  <si>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</si>
  <si>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</si>
  <si>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</si>
  <si>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</si>
  <si>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</si>
  <si>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</si>
  <si>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</si>
  <si>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</si>
  <si>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</si>
  <si>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</si>
  <si>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</si>
  <si>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</si>
  <si>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</si>
  <si>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</si>
  <si>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</si>
  <si>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</si>
  <si>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</si>
  <si>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</si>
  <si>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</si>
  <si>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</si>
  <si>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</si>
  <si>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</si>
  <si>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</si>
  <si>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</si>
  <si>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</si>
  <si>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</si>
  <si>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</si>
  <si>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</si>
  <si>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</si>
  <si>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</si>
  <si>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</si>
  <si>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</si>
  <si>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</si>
  <si>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</si>
  <si>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</si>
  <si>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</si>
  <si>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</si>
  <si>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</si>
  <si>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</si>
  <si>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</si>
  <si>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</si>
  <si>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</si>
  <si>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</si>
  <si>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</si>
  <si>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</si>
  <si>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</si>
  <si>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</si>
  <si>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</si>
  <si>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</si>
  <si>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</si>
  <si>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</si>
  <si>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</si>
  <si>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</si>
  <si>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</si>
  <si>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</si>
  <si>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</si>
  <si>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</si>
  <si>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</si>
  <si>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</si>
  <si>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</si>
  <si>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</si>
  <si>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</si>
  <si>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</si>
  <si>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</si>
  <si>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</si>
  <si>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</si>
  <si>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</si>
  <si>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</si>
  <si>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</si>
  <si>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</si>
  <si>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</si>
  <si>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</si>
  <si>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</si>
  <si>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</si>
  <si>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</si>
  <si>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</si>
  <si>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</si>
  <si>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</si>
  <si>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</si>
  <si>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</si>
  <si>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</si>
  <si>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</si>
  <si>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</si>
  <si>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</si>
  <si>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</si>
  <si>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</si>
  <si>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</si>
  <si>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</si>
  <si>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</si>
  <si>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</si>
  <si>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</si>
  <si>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</si>
  <si>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</si>
  <si>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</si>
  <si>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</si>
  <si>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</si>
  <si>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</si>
  <si>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</si>
  <si>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</si>
  <si>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</si>
  <si>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</si>
  <si>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</si>
  <si>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</si>
  <si>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</si>
  <si>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</si>
  <si>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</si>
  <si>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</si>
  <si>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</si>
  <si>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</si>
  <si>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</si>
  <si>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</si>
  <si>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</si>
  <si>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</si>
  <si>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</si>
  <si>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</si>
  <si>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</si>
  <si>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</si>
  <si>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</si>
  <si>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</si>
  <si>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</si>
  <si>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</si>
  <si>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</si>
  <si>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</si>
  <si>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</si>
  <si>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</si>
  <si>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</si>
  <si>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</si>
  <si>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</si>
  <si>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</si>
  <si>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</si>
  <si>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</si>
  <si>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</si>
  <si>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</si>
  <si>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</si>
  <si>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</si>
  <si>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</si>
  <si>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</si>
  <si>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</si>
  <si>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</si>
  <si>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</si>
  <si>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</si>
  <si>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</si>
  <si>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</si>
  <si>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</si>
  <si>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</si>
  <si>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</si>
  <si>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</si>
  <si>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</si>
  <si>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</si>
  <si>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</si>
  <si>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</si>
  <si>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</si>
  <si>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</si>
  <si>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</si>
  <si>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</si>
  <si>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</si>
  <si>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</si>
  <si>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</si>
  <si>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</si>
  <si>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</si>
  <si>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</si>
  <si>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</si>
  <si>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</si>
  <si>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</si>
  <si>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</si>
  <si>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</si>
  <si>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</si>
  <si>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</si>
  <si>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</si>
  <si>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</si>
  <si>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</si>
  <si>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</si>
  <si>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</si>
  <si>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</si>
  <si>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</si>
  <si>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</si>
  <si>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</si>
  <si>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</si>
  <si>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</si>
  <si>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</si>
  <si>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</si>
  <si>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</si>
  <si>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</si>
  <si>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</si>
  <si>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</si>
  <si>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</si>
  <si>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</si>
  <si>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Erstatninger</t>
  </si>
  <si>
    <t>Brønde</t>
  </si>
  <si>
    <t>Kælder (&lt; 7 m2)</t>
  </si>
  <si>
    <t>Ledningsnet ≤ Ø 200 mm</t>
  </si>
  <si>
    <t>Strømpeforing Ø 200 mm &lt; Ledningsnet ≤ Ø 500 mm</t>
  </si>
  <si>
    <t>Ø 1000 mm &lt; Ledningsnet ≤ Ø 1200 mm</t>
  </si>
  <si>
    <t>Ø 200 mm &lt; Ledningsnet ≤ Ø 500 mm</t>
  </si>
  <si>
    <t>Resultat af kontrol med overholdelse af den økonomiske ramme for 2021</t>
  </si>
  <si>
    <t>Ingen tilknyttet virksomhed under hovedvirksomheden</t>
  </si>
  <si>
    <t>Flytning af ledning</t>
  </si>
  <si>
    <t>Byggemodninger og enkelttilslutninger</t>
  </si>
  <si>
    <t>Ingen engangstillæg</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</si>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</sst>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226</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236</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183</v>
      </c>
      <c r="E16" s="108"/>
      <c r="F16" s="108"/>
      <c r="G16" s="109"/>
      <c r="H16" s="5"/>
      <c r="I16" s="1"/>
    </row>
    <row r="17" spans="1:9" x14ac:dyDescent="0.25">
      <c r="A17" s="1"/>
      <c r="B17" s="1"/>
      <c r="C17" s="6" t="s">
        <v>119</v>
      </c>
      <c r="D17" s="107" t="s">
        <v>184</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185</v>
      </c>
      <c r="E22" s="99"/>
      <c r="F22" s="99"/>
      <c r="G22" s="100"/>
      <c r="H22" s="5"/>
      <c r="I22" s="1"/>
    </row>
    <row r="23" spans="1:9" x14ac:dyDescent="0.25">
      <c r="A23" s="1"/>
      <c r="B23" s="1"/>
      <c r="C23" s="6" t="s">
        <v>8</v>
      </c>
      <c r="D23" s="98" t="s">
        <v>254</v>
      </c>
      <c r="E23" s="99"/>
      <c r="F23" s="99"/>
      <c r="G23" s="100"/>
      <c r="H23" s="5"/>
      <c r="I23" s="1"/>
    </row>
    <row r="24" spans="1:9" x14ac:dyDescent="0.25">
      <c r="A24" s="1"/>
      <c r="B24" s="1"/>
      <c r="C24" s="6" t="s">
        <v>9</v>
      </c>
      <c r="D24" s="98" t="s">
        <v>186</v>
      </c>
      <c r="E24" s="99"/>
      <c r="F24" s="99"/>
      <c r="G24" s="100"/>
      <c r="H24" s="5"/>
      <c r="I24" s="1"/>
    </row>
    <row r="25" spans="1:9" x14ac:dyDescent="0.25">
      <c r="A25" s="1"/>
      <c r="B25" s="1"/>
      <c r="C25" s="6" t="s">
        <v>247</v>
      </c>
      <c r="D25" s="98" t="s">
        <v>238</v>
      </c>
      <c r="E25" s="99"/>
      <c r="F25" s="99"/>
      <c r="G25" s="100"/>
      <c r="H25" s="1"/>
      <c r="I25" s="1"/>
    </row>
    <row r="26" spans="1:9" x14ac:dyDescent="0.25">
      <c r="A26" s="1"/>
      <c r="B26" s="1"/>
      <c r="C26" s="6" t="s">
        <v>248</v>
      </c>
      <c r="D26" s="98" t="s">
        <v>84</v>
      </c>
      <c r="E26" s="99"/>
      <c r="F26" s="99"/>
      <c r="G26" s="100"/>
      <c r="H26" s="1"/>
      <c r="I26" s="1"/>
    </row>
    <row r="27" spans="1:9" x14ac:dyDescent="0.25">
      <c r="A27" s="1"/>
      <c r="B27" s="1"/>
      <c r="C27" s="6" t="s">
        <v>249</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250</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DhVgHYUz4iP5hMwzT1PtrusBmBQnTAmClZj2hl01rXnAQ35K9jVZVwie6jbBGs2uPfMLKhhJk/VgVbmuGop4zg==" saltValue="8LDFuwQHCeg/gRjRn4G5pA=="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200</v>
      </c>
      <c r="C8" s="132"/>
      <c r="D8" s="133"/>
      <c r="E8" s="1"/>
      <c r="F8" s="1"/>
    </row>
    <row r="9" spans="1:6" ht="15" customHeight="1" x14ac:dyDescent="0.25">
      <c r="A9" s="1"/>
      <c r="B9" s="26" t="s">
        <v>32</v>
      </c>
      <c r="C9" s="58" t="s">
        <v>241</v>
      </c>
      <c r="D9" s="11"/>
      <c r="E9" s="1"/>
      <c r="F9" s="1"/>
    </row>
    <row r="10" spans="1:6" x14ac:dyDescent="0.25">
      <c r="A10" s="1"/>
      <c r="B10" s="94" t="s">
        <v>267</v>
      </c>
      <c r="C10" s="9">
        <v>1288905</v>
      </c>
      <c r="D10" s="14" t="s">
        <v>3</v>
      </c>
      <c r="E10" s="1"/>
      <c r="F10" s="1"/>
    </row>
    <row r="11" spans="1:6" x14ac:dyDescent="0.25">
      <c r="A11" s="1"/>
      <c r="B11" s="94" t="s">
        <v>268</v>
      </c>
      <c r="C11" s="9">
        <v>102095</v>
      </c>
      <c r="D11" s="14" t="s">
        <v>3</v>
      </c>
      <c r="E11" s="1"/>
      <c r="F11" s="1"/>
    </row>
    <row r="12" spans="1:6" x14ac:dyDescent="0.25">
      <c r="A12" s="1"/>
      <c r="B12" s="94" t="s">
        <v>269</v>
      </c>
      <c r="C12" s="9">
        <v>230833</v>
      </c>
      <c r="D12" s="14" t="s">
        <v>3</v>
      </c>
      <c r="E12" s="1"/>
      <c r="F12" s="1"/>
    </row>
    <row r="13" spans="1:6" x14ac:dyDescent="0.25">
      <c r="A13" s="1"/>
      <c r="B13" s="94" t="s">
        <v>270</v>
      </c>
      <c r="C13" s="9">
        <v>93891</v>
      </c>
      <c r="D13" s="14" t="s">
        <v>3</v>
      </c>
      <c r="E13" s="1"/>
      <c r="F13" s="1"/>
    </row>
    <row r="14" spans="1:6" x14ac:dyDescent="0.25">
      <c r="A14" s="1"/>
      <c r="B14" s="94" t="s">
        <v>271</v>
      </c>
      <c r="C14" s="9">
        <v>26107.040000000001</v>
      </c>
      <c r="D14" s="14" t="s">
        <v>3</v>
      </c>
      <c r="E14" s="1"/>
      <c r="F14" s="1"/>
    </row>
    <row r="15" spans="1:6" x14ac:dyDescent="0.25">
      <c r="A15" s="1"/>
      <c r="B15" s="32" t="s">
        <v>201</v>
      </c>
      <c r="C15" s="12">
        <f>SUM(C10:C14)</f>
        <v>1741831.04</v>
      </c>
      <c r="D15" s="13" t="s">
        <v>3</v>
      </c>
      <c r="E15" s="1"/>
      <c r="F15" s="1"/>
    </row>
    <row r="16" spans="1:6" x14ac:dyDescent="0.25">
      <c r="A16" s="1"/>
      <c r="B16" s="32" t="s">
        <v>202</v>
      </c>
      <c r="C16" s="12">
        <f>C15*(1+'Fane 15. Nøgletal'!C15)^2</f>
        <v>1868056.9370348547</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4" t="s">
        <v>99</v>
      </c>
      <c r="C20" s="9">
        <v>0</v>
      </c>
      <c r="D20" s="14" t="s">
        <v>3</v>
      </c>
      <c r="E20" s="1"/>
      <c r="F20" s="1"/>
    </row>
    <row r="21" spans="1:6" x14ac:dyDescent="0.25">
      <c r="A21" s="1"/>
      <c r="B21" s="94" t="s">
        <v>129</v>
      </c>
      <c r="C21" s="9">
        <v>0</v>
      </c>
      <c r="D21" s="14" t="s">
        <v>3</v>
      </c>
      <c r="E21" s="1"/>
      <c r="F21" s="1"/>
    </row>
    <row r="22" spans="1:6" x14ac:dyDescent="0.25">
      <c r="A22" s="1"/>
      <c r="B22" s="94" t="s">
        <v>155</v>
      </c>
      <c r="C22" s="9">
        <v>0</v>
      </c>
      <c r="D22" s="14" t="s">
        <v>3</v>
      </c>
      <c r="E22" s="1"/>
      <c r="F22" s="1"/>
    </row>
    <row r="23" spans="1:6" x14ac:dyDescent="0.25">
      <c r="A23" s="1"/>
      <c r="B23" s="33" t="s">
        <v>203</v>
      </c>
      <c r="C23" s="9">
        <v>0</v>
      </c>
      <c r="D23" s="40"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203</v>
      </c>
      <c r="C31" s="9">
        <v>0</v>
      </c>
      <c r="D31" s="40"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45MjIMLrs/jSRi/yaPbM//PC8ekW6I4kt6TaP1Gwng8JqGrSq/E57FP9y3F8AANI9LxfjU70J1wlEwuVL4/s0w==" saltValue="v2z7foKrh+ZLd5OwG12/Fw=="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204</v>
      </c>
      <c r="C3" s="124"/>
      <c r="D3" s="124"/>
      <c r="E3" s="124"/>
      <c r="F3" s="124"/>
      <c r="G3" s="1"/>
    </row>
    <row r="4" spans="1:7" ht="15" customHeight="1" x14ac:dyDescent="0.25">
      <c r="A4" s="1"/>
      <c r="B4" s="124"/>
      <c r="C4" s="124"/>
      <c r="D4" s="124"/>
      <c r="E4" s="124"/>
      <c r="F4" s="124"/>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205</v>
      </c>
      <c r="C9" s="137"/>
      <c r="D9" s="138"/>
      <c r="E9" s="9">
        <v>-1525012.3875535578</v>
      </c>
      <c r="F9" s="14" t="s">
        <v>3</v>
      </c>
      <c r="G9" s="1"/>
    </row>
    <row r="10" spans="1:7" x14ac:dyDescent="0.25">
      <c r="A10" s="1"/>
      <c r="B10" s="136" t="s">
        <v>264</v>
      </c>
      <c r="C10" s="137"/>
      <c r="D10" s="138"/>
      <c r="E10" s="9">
        <v>0</v>
      </c>
      <c r="F10" s="14" t="s">
        <v>3</v>
      </c>
      <c r="G10" s="1"/>
    </row>
    <row r="11" spans="1:7" x14ac:dyDescent="0.25">
      <c r="A11" s="1"/>
      <c r="B11" s="32"/>
      <c r="C11" s="27"/>
      <c r="D11" s="27"/>
      <c r="E11" s="27"/>
      <c r="F11" s="19"/>
      <c r="G11" s="1"/>
    </row>
    <row r="12" spans="1:7" ht="67.5" customHeight="1" x14ac:dyDescent="0.25">
      <c r="A12" s="1"/>
      <c r="B12" s="121" t="s">
        <v>265</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291</v>
      </c>
      <c r="C15" s="137"/>
      <c r="D15" s="138"/>
      <c r="E15" s="9">
        <v>0</v>
      </c>
      <c r="F15" s="14" t="s">
        <v>3</v>
      </c>
      <c r="G15" s="1"/>
    </row>
    <row r="16" spans="1:7" x14ac:dyDescent="0.25">
      <c r="A16" s="1"/>
      <c r="B16" s="136" t="s">
        <v>292</v>
      </c>
      <c r="C16" s="137"/>
      <c r="D16" s="138"/>
      <c r="E16" s="9">
        <v>0</v>
      </c>
      <c r="F16" s="14" t="s">
        <v>3</v>
      </c>
      <c r="G16" s="1"/>
    </row>
    <row r="17" spans="1:7" x14ac:dyDescent="0.25">
      <c r="A17" s="1"/>
      <c r="B17" s="32"/>
      <c r="C17" s="27"/>
      <c r="D17" s="27"/>
      <c r="E17" s="27"/>
      <c r="F17" s="19"/>
      <c r="G17" s="1"/>
    </row>
    <row r="18" spans="1:7" ht="31.5" customHeight="1" x14ac:dyDescent="0.25">
      <c r="A18" s="1"/>
      <c r="B18" s="121" t="s">
        <v>180</v>
      </c>
      <c r="C18" s="122"/>
      <c r="D18" s="122"/>
      <c r="E18" s="122"/>
      <c r="F18" s="123"/>
      <c r="G18" s="1"/>
    </row>
    <row r="19" spans="1:7" ht="28.5" customHeight="1" x14ac:dyDescent="0.25">
      <c r="A19" s="1"/>
      <c r="B19" s="1"/>
      <c r="C19" s="1"/>
      <c r="D19" s="1"/>
      <c r="E19" s="1"/>
      <c r="F19" s="1"/>
      <c r="G19" s="1"/>
    </row>
    <row r="20" spans="1:7" ht="28.5" customHeight="1" x14ac:dyDescent="0.25">
      <c r="A20" s="1"/>
      <c r="B20" s="86" t="s">
        <v>206</v>
      </c>
      <c r="C20" s="87"/>
      <c r="D20" s="87"/>
      <c r="E20" s="87"/>
      <c r="F20" s="88"/>
      <c r="G20" s="1"/>
    </row>
    <row r="21" spans="1:7" x14ac:dyDescent="0.25">
      <c r="A21" s="1"/>
      <c r="B21" s="91" t="s">
        <v>207</v>
      </c>
      <c r="C21" s="92"/>
      <c r="D21" s="93"/>
      <c r="E21" s="9">
        <v>70048042.569444209</v>
      </c>
      <c r="F21" s="14" t="s">
        <v>3</v>
      </c>
      <c r="G21" s="1"/>
    </row>
    <row r="22" spans="1:7" x14ac:dyDescent="0.25">
      <c r="A22" s="1"/>
      <c r="B22" s="91" t="s">
        <v>208</v>
      </c>
      <c r="C22" s="92"/>
      <c r="D22" s="93"/>
      <c r="E22" s="9">
        <v>71211286</v>
      </c>
      <c r="F22" s="14" t="s">
        <v>3</v>
      </c>
      <c r="G22" s="1"/>
    </row>
    <row r="23" spans="1:7" x14ac:dyDescent="0.25">
      <c r="A23" s="1"/>
      <c r="B23" s="91" t="s">
        <v>33</v>
      </c>
      <c r="C23" s="92"/>
      <c r="D23" s="93"/>
      <c r="E23" s="9">
        <v>240400</v>
      </c>
      <c r="F23" s="14" t="s">
        <v>3</v>
      </c>
      <c r="G23" s="1"/>
    </row>
    <row r="24" spans="1:7" x14ac:dyDescent="0.25">
      <c r="A24" s="1"/>
      <c r="B24" s="89" t="s">
        <v>278</v>
      </c>
      <c r="C24" s="90"/>
      <c r="D24" s="96"/>
      <c r="E24" s="72">
        <f>E21-(E22-E23)</f>
        <v>-922843.43055579066</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293</v>
      </c>
      <c r="C27" s="132"/>
      <c r="D27" s="132"/>
      <c r="E27" s="132"/>
      <c r="F27" s="133"/>
      <c r="G27" s="1"/>
    </row>
    <row r="28" spans="1:7" x14ac:dyDescent="0.25">
      <c r="A28" s="1"/>
      <c r="B28" s="134" t="s">
        <v>294</v>
      </c>
      <c r="C28" s="135"/>
      <c r="D28" s="151"/>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266</v>
      </c>
      <c r="C31" s="132"/>
      <c r="D31" s="132"/>
      <c r="E31" s="132"/>
      <c r="F31" s="133"/>
      <c r="G31" s="1"/>
    </row>
    <row r="32" spans="1:7" x14ac:dyDescent="0.25">
      <c r="A32" s="1"/>
      <c r="B32" s="152" t="s">
        <v>143</v>
      </c>
      <c r="C32" s="153"/>
      <c r="D32" s="154"/>
      <c r="E32" s="74">
        <f>IF(AND(E9&gt;0,(E9+E24)&gt;0),0,IF(AND(E9&gt;0,(E9+E24)&lt;0),(E9+E24),IF(AND(E9&lt;0,E24&lt;0),E24,0)))</f>
        <v>-922843.43055579066</v>
      </c>
      <c r="F32" s="14" t="s">
        <v>3</v>
      </c>
      <c r="G32" s="1"/>
    </row>
    <row r="33" spans="1:7" x14ac:dyDescent="0.25">
      <c r="A33" s="1"/>
      <c r="B33" s="152" t="s">
        <v>102</v>
      </c>
      <c r="C33" s="153"/>
      <c r="D33" s="154"/>
      <c r="E33" s="9">
        <v>4</v>
      </c>
      <c r="F33" s="14" t="s">
        <v>20</v>
      </c>
      <c r="G33" s="1"/>
    </row>
    <row r="34" spans="1:7" x14ac:dyDescent="0.25">
      <c r="A34" s="1"/>
      <c r="B34" s="155" t="s">
        <v>144</v>
      </c>
      <c r="C34" s="155"/>
      <c r="D34" s="155"/>
      <c r="E34" s="73">
        <f>E32/E33</f>
        <v>-230710.85763894767</v>
      </c>
      <c r="F34" s="17" t="s">
        <v>3</v>
      </c>
      <c r="G34" s="1"/>
    </row>
    <row r="35" spans="1:7" x14ac:dyDescent="0.25">
      <c r="A35" s="1"/>
      <c r="B35" s="156"/>
      <c r="C35" s="157"/>
      <c r="D35" s="157"/>
      <c r="E35" s="157"/>
      <c r="F35" s="158"/>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xLwGXnsSbPZ+WYiSXgGzd0eOCorkRCKncs/SxKSqSssHkAxRnivIuLgtx5eOiChRt6iJtdDk+FoOndNskcwCuA==" saltValue="S8qc4MNYYNnAr6PqJ6xYDA==" spinCount="100000" sheet="1" objects="1" scenarios="1"/>
  <mergeCells count="17">
    <mergeCell ref="B15:D15"/>
    <mergeCell ref="B16:D16"/>
    <mergeCell ref="B32:D32"/>
    <mergeCell ref="B29:F29"/>
    <mergeCell ref="B18:F18"/>
    <mergeCell ref="B27:F27"/>
    <mergeCell ref="B3:F4"/>
    <mergeCell ref="B8:F8"/>
    <mergeCell ref="B9:D9"/>
    <mergeCell ref="B10:D10"/>
    <mergeCell ref="B14:F14"/>
    <mergeCell ref="B12:F12"/>
    <mergeCell ref="B28:D28"/>
    <mergeCell ref="B31:F31"/>
    <mergeCell ref="B33:D33"/>
    <mergeCell ref="B34:D34"/>
    <mergeCell ref="B35:F35"/>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251</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263</v>
      </c>
      <c r="C8" s="132"/>
      <c r="D8" s="132"/>
      <c r="E8" s="132"/>
      <c r="F8" s="132"/>
      <c r="G8" s="132"/>
      <c r="H8" s="133"/>
      <c r="I8" s="1"/>
    </row>
    <row r="9" spans="1:9" ht="15" customHeight="1" x14ac:dyDescent="0.25">
      <c r="A9" s="1"/>
      <c r="B9" s="128" t="s">
        <v>252</v>
      </c>
      <c r="C9" s="129"/>
      <c r="D9" s="129"/>
      <c r="E9" s="129"/>
      <c r="F9" s="129"/>
      <c r="G9" s="129"/>
      <c r="H9" s="130"/>
      <c r="I9" s="1"/>
    </row>
    <row r="10" spans="1:9" x14ac:dyDescent="0.25">
      <c r="A10" s="1"/>
      <c r="B10" s="159" t="s">
        <v>283</v>
      </c>
      <c r="C10" s="160"/>
      <c r="D10" s="160"/>
      <c r="E10" s="160"/>
      <c r="F10" s="161"/>
      <c r="G10" s="9">
        <v>0</v>
      </c>
      <c r="H10" s="9" t="s">
        <v>3</v>
      </c>
      <c r="I10" s="1"/>
    </row>
    <row r="11" spans="1:9" x14ac:dyDescent="0.25">
      <c r="A11" s="1"/>
      <c r="B11" s="159" t="s">
        <v>284</v>
      </c>
      <c r="C11" s="160"/>
      <c r="D11" s="160"/>
      <c r="E11" s="160"/>
      <c r="F11" s="161"/>
      <c r="G11" s="9">
        <v>0</v>
      </c>
      <c r="H11" s="9" t="s">
        <v>3</v>
      </c>
      <c r="I11" s="1"/>
    </row>
    <row r="12" spans="1:9" x14ac:dyDescent="0.25">
      <c r="A12" s="1"/>
      <c r="B12" s="159" t="s">
        <v>285</v>
      </c>
      <c r="C12" s="160"/>
      <c r="D12" s="160"/>
      <c r="E12" s="160"/>
      <c r="F12" s="161"/>
      <c r="G12" s="9">
        <v>0</v>
      </c>
      <c r="H12" s="9" t="s">
        <v>3</v>
      </c>
      <c r="I12" s="1"/>
    </row>
    <row r="13" spans="1:9" x14ac:dyDescent="0.25">
      <c r="A13" s="1"/>
      <c r="B13" s="159" t="s">
        <v>286</v>
      </c>
      <c r="C13" s="160"/>
      <c r="D13" s="160"/>
      <c r="E13" s="160"/>
      <c r="F13" s="161"/>
      <c r="G13" s="9">
        <v>0</v>
      </c>
      <c r="H13" s="9" t="s">
        <v>3</v>
      </c>
      <c r="I13" s="1"/>
    </row>
    <row r="14" spans="1:9" x14ac:dyDescent="0.25">
      <c r="A14" s="1"/>
      <c r="B14" s="159" t="s">
        <v>287</v>
      </c>
      <c r="C14" s="160"/>
      <c r="D14" s="160"/>
      <c r="E14" s="160"/>
      <c r="F14" s="161"/>
      <c r="G14" s="9">
        <v>0</v>
      </c>
      <c r="H14" s="9" t="s">
        <v>3</v>
      </c>
      <c r="I14" s="1"/>
    </row>
    <row r="15" spans="1:9" x14ac:dyDescent="0.25">
      <c r="A15" s="1"/>
      <c r="B15" s="159" t="s">
        <v>288</v>
      </c>
      <c r="C15" s="160"/>
      <c r="D15" s="160"/>
      <c r="E15" s="160"/>
      <c r="F15" s="161"/>
      <c r="G15" s="9">
        <v>0</v>
      </c>
      <c r="H15" s="9" t="s">
        <v>3</v>
      </c>
      <c r="I15" s="1"/>
    </row>
    <row r="16" spans="1:9" x14ac:dyDescent="0.25">
      <c r="A16" s="1"/>
      <c r="B16" s="159" t="s">
        <v>289</v>
      </c>
      <c r="C16" s="160"/>
      <c r="D16" s="160"/>
      <c r="E16" s="160"/>
      <c r="F16" s="161"/>
      <c r="G16" s="9">
        <v>0</v>
      </c>
      <c r="H16" s="9" t="s">
        <v>3</v>
      </c>
      <c r="I16" s="1"/>
    </row>
    <row r="17" spans="1:9" x14ac:dyDescent="0.25">
      <c r="A17" s="1"/>
      <c r="B17" s="159" t="s">
        <v>290</v>
      </c>
      <c r="C17" s="160"/>
      <c r="D17" s="160"/>
      <c r="E17" s="160"/>
      <c r="F17" s="161"/>
      <c r="G17" s="9">
        <v>0</v>
      </c>
      <c r="H17" s="9" t="s">
        <v>3</v>
      </c>
      <c r="I17" s="1"/>
    </row>
    <row r="18" spans="1:9" x14ac:dyDescent="0.25">
      <c r="A18" s="1"/>
      <c r="B18" s="131" t="s">
        <v>253</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95ZGKj/vcUPg2VDj2AXU2kgHFwPFkNuZtiRLlmvVIAE1dUoPFmG982gVikDUn0huNd3rU7nrtYnUnm86PtjXwg==" saltValue="+kCONBtMn1Br0dqvxPQEKA=="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255</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209</v>
      </c>
      <c r="C9" s="132"/>
      <c r="D9" s="132"/>
      <c r="E9" s="132"/>
      <c r="F9" s="133"/>
      <c r="G9" s="1"/>
    </row>
    <row r="10" spans="1:7" x14ac:dyDescent="0.25">
      <c r="A10" s="1"/>
      <c r="B10" s="121" t="s">
        <v>100</v>
      </c>
      <c r="C10" s="122"/>
      <c r="D10" s="123"/>
      <c r="E10" s="7">
        <v>0</v>
      </c>
      <c r="F10" s="8" t="s">
        <v>3</v>
      </c>
      <c r="G10" s="1"/>
    </row>
    <row r="11" spans="1:7" x14ac:dyDescent="0.25">
      <c r="A11" s="1"/>
      <c r="B11" s="136" t="s">
        <v>210</v>
      </c>
      <c r="C11" s="137"/>
      <c r="D11" s="138"/>
      <c r="E11" s="7">
        <v>0</v>
      </c>
      <c r="F11" s="8" t="s">
        <v>3</v>
      </c>
      <c r="G11" s="1"/>
    </row>
    <row r="12" spans="1:7" x14ac:dyDescent="0.25">
      <c r="A12" s="1"/>
      <c r="B12" s="134" t="s">
        <v>101</v>
      </c>
      <c r="C12" s="135"/>
      <c r="D12" s="151"/>
      <c r="E12" s="10">
        <f>E11-E10</f>
        <v>0</v>
      </c>
      <c r="F12" s="11" t="s">
        <v>3</v>
      </c>
      <c r="G12" s="1"/>
    </row>
    <row r="13" spans="1:7" x14ac:dyDescent="0.25">
      <c r="A13" s="1"/>
      <c r="B13" s="131" t="s">
        <v>94</v>
      </c>
      <c r="C13" s="132"/>
      <c r="D13" s="132"/>
      <c r="E13" s="132"/>
      <c r="F13" s="133"/>
      <c r="G13" s="1"/>
    </row>
    <row r="14" spans="1:7" x14ac:dyDescent="0.25">
      <c r="A14" s="1"/>
      <c r="B14" s="136" t="s">
        <v>211</v>
      </c>
      <c r="C14" s="137"/>
      <c r="D14" s="138"/>
      <c r="E14" s="9">
        <v>407366</v>
      </c>
      <c r="F14" s="8" t="s">
        <v>3</v>
      </c>
      <c r="G14" s="1"/>
    </row>
    <row r="15" spans="1:7" x14ac:dyDescent="0.25">
      <c r="A15" s="1"/>
      <c r="B15" s="121" t="s">
        <v>212</v>
      </c>
      <c r="C15" s="122"/>
      <c r="D15" s="123"/>
      <c r="E15" s="9">
        <v>0</v>
      </c>
      <c r="F15" s="8" t="s">
        <v>3</v>
      </c>
      <c r="G15" s="1"/>
    </row>
    <row r="16" spans="1:7" x14ac:dyDescent="0.25">
      <c r="A16" s="1"/>
      <c r="B16" s="134" t="s">
        <v>101</v>
      </c>
      <c r="C16" s="135"/>
      <c r="D16" s="151"/>
      <c r="E16" s="10">
        <f>E15-E14</f>
        <v>-407366</v>
      </c>
      <c r="F16" s="11" t="s">
        <v>3</v>
      </c>
      <c r="G16" s="1"/>
    </row>
    <row r="17" spans="1:7" x14ac:dyDescent="0.25">
      <c r="A17" s="1"/>
      <c r="B17" s="32" t="s">
        <v>213</v>
      </c>
      <c r="C17" s="27"/>
      <c r="D17" s="27"/>
      <c r="E17" s="12">
        <f>E12+E16</f>
        <v>-407366</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hytKwhvOK9+Y/U2YWjDVGK9QymgJFHEaF/nB0XYznqzW7eKDG3g3ZPBHB775e4XJQiMotVG63rQgm472u86sA==" saltValue="1nSQoId+kQESS5TtE4Udh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256</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220</v>
      </c>
      <c r="C8" s="132"/>
      <c r="D8" s="132"/>
      <c r="E8" s="132"/>
      <c r="F8" s="132"/>
      <c r="G8" s="132"/>
      <c r="H8" s="132"/>
      <c r="I8" s="132"/>
      <c r="J8" s="132"/>
      <c r="K8" s="133"/>
      <c r="L8" s="1"/>
    </row>
    <row r="9" spans="1:12" ht="39.75" customHeight="1" x14ac:dyDescent="0.25">
      <c r="A9" s="1"/>
      <c r="B9" s="18" t="s">
        <v>0</v>
      </c>
      <c r="C9" s="18" t="s">
        <v>1</v>
      </c>
      <c r="D9" s="162" t="s">
        <v>246</v>
      </c>
      <c r="E9" s="163"/>
      <c r="F9" s="162" t="s">
        <v>2</v>
      </c>
      <c r="G9" s="163"/>
      <c r="H9" s="162" t="s">
        <v>245</v>
      </c>
      <c r="I9" s="163"/>
      <c r="J9" s="162" t="s">
        <v>30</v>
      </c>
      <c r="K9" s="163"/>
      <c r="L9" s="1"/>
    </row>
    <row r="10" spans="1:12" x14ac:dyDescent="0.25">
      <c r="A10" s="1"/>
      <c r="B10" s="97" t="s">
        <v>272</v>
      </c>
      <c r="C10" s="41">
        <v>75</v>
      </c>
      <c r="D10" s="9">
        <v>1532904</v>
      </c>
      <c r="E10" s="14" t="s">
        <v>3</v>
      </c>
      <c r="F10" s="9">
        <f>IFERROR(D10/C10,0)</f>
        <v>20438.72</v>
      </c>
      <c r="G10" s="14" t="s">
        <v>3</v>
      </c>
      <c r="H10" s="44">
        <v>0</v>
      </c>
      <c r="I10" s="14" t="s">
        <v>3</v>
      </c>
      <c r="J10" s="44">
        <v>31118</v>
      </c>
      <c r="K10" s="14" t="s">
        <v>3</v>
      </c>
      <c r="L10" s="1"/>
    </row>
    <row r="11" spans="1:12" x14ac:dyDescent="0.25">
      <c r="A11" s="1"/>
      <c r="B11" s="97" t="s">
        <v>273</v>
      </c>
      <c r="C11" s="41">
        <v>75</v>
      </c>
      <c r="D11" s="9">
        <v>22477</v>
      </c>
      <c r="E11" s="14" t="s">
        <v>3</v>
      </c>
      <c r="F11" s="9">
        <f t="shared" ref="F11:F15" si="0">IFERROR(D11/C11,0)</f>
        <v>299.69333333333333</v>
      </c>
      <c r="G11" s="14" t="s">
        <v>3</v>
      </c>
      <c r="H11" s="44">
        <v>0</v>
      </c>
      <c r="I11" s="14" t="s">
        <v>3</v>
      </c>
      <c r="J11" s="44">
        <v>456</v>
      </c>
      <c r="K11" s="14" t="s">
        <v>3</v>
      </c>
      <c r="L11" s="1"/>
    </row>
    <row r="12" spans="1:12" x14ac:dyDescent="0.25">
      <c r="A12" s="1"/>
      <c r="B12" s="97" t="s">
        <v>274</v>
      </c>
      <c r="C12" s="41">
        <v>75</v>
      </c>
      <c r="D12" s="9">
        <v>1143343</v>
      </c>
      <c r="E12" s="14" t="s">
        <v>3</v>
      </c>
      <c r="F12" s="9">
        <f t="shared" ref="F12" si="1">IFERROR(D12/C12,0)</f>
        <v>15244.573333333334</v>
      </c>
      <c r="G12" s="14" t="s">
        <v>3</v>
      </c>
      <c r="H12" s="44">
        <v>0</v>
      </c>
      <c r="I12" s="14" t="s">
        <v>3</v>
      </c>
      <c r="J12" s="44">
        <v>23210</v>
      </c>
      <c r="K12" s="14" t="s">
        <v>3</v>
      </c>
      <c r="L12" s="1"/>
    </row>
    <row r="13" spans="1:12" ht="26.25" x14ac:dyDescent="0.25">
      <c r="A13" s="1"/>
      <c r="B13" s="97" t="s">
        <v>275</v>
      </c>
      <c r="C13" s="41">
        <v>50</v>
      </c>
      <c r="D13" s="9">
        <v>350385</v>
      </c>
      <c r="E13" s="14" t="s">
        <v>3</v>
      </c>
      <c r="F13" s="9">
        <f t="shared" si="0"/>
        <v>7007.7</v>
      </c>
      <c r="G13" s="14" t="s">
        <v>3</v>
      </c>
      <c r="H13" s="44">
        <v>0</v>
      </c>
      <c r="I13" s="14" t="s">
        <v>3</v>
      </c>
      <c r="J13" s="44">
        <v>7113</v>
      </c>
      <c r="K13" s="14" t="s">
        <v>3</v>
      </c>
      <c r="L13" s="1"/>
    </row>
    <row r="14" spans="1:12" ht="26.25" x14ac:dyDescent="0.25">
      <c r="A14" s="1"/>
      <c r="B14" s="97" t="s">
        <v>276</v>
      </c>
      <c r="C14" s="41">
        <v>75</v>
      </c>
      <c r="D14" s="9">
        <v>1307431</v>
      </c>
      <c r="E14" s="14" t="s">
        <v>3</v>
      </c>
      <c r="F14" s="9">
        <f t="shared" si="0"/>
        <v>17432.413333333334</v>
      </c>
      <c r="G14" s="14" t="s">
        <v>3</v>
      </c>
      <c r="H14" s="44">
        <v>0</v>
      </c>
      <c r="I14" s="14" t="s">
        <v>3</v>
      </c>
      <c r="J14" s="44">
        <v>26541</v>
      </c>
      <c r="K14" s="14" t="s">
        <v>3</v>
      </c>
      <c r="L14" s="1"/>
    </row>
    <row r="15" spans="1:12" ht="26.25" x14ac:dyDescent="0.25">
      <c r="A15" s="1"/>
      <c r="B15" s="97" t="s">
        <v>277</v>
      </c>
      <c r="C15" s="41">
        <v>75</v>
      </c>
      <c r="D15" s="9">
        <v>5553287</v>
      </c>
      <c r="E15" s="14" t="s">
        <v>3</v>
      </c>
      <c r="F15" s="9">
        <f t="shared" si="0"/>
        <v>74043.82666666666</v>
      </c>
      <c r="G15" s="14" t="s">
        <v>3</v>
      </c>
      <c r="H15" s="44">
        <v>0</v>
      </c>
      <c r="I15" s="14" t="s">
        <v>3</v>
      </c>
      <c r="J15" s="44">
        <v>112732</v>
      </c>
      <c r="K15" s="14" t="s">
        <v>3</v>
      </c>
      <c r="L15" s="1"/>
    </row>
    <row r="16" spans="1:12" x14ac:dyDescent="0.25">
      <c r="A16" s="1"/>
      <c r="B16" s="86" t="s">
        <v>221</v>
      </c>
      <c r="C16" s="87"/>
      <c r="D16" s="88"/>
      <c r="E16" s="88"/>
      <c r="F16" s="12">
        <f>SUM(F10:F15)</f>
        <v>134466.92666666664</v>
      </c>
      <c r="G16" s="12" t="s">
        <v>244</v>
      </c>
      <c r="H16" s="12">
        <f>SUM(H10:H15)</f>
        <v>0</v>
      </c>
      <c r="I16" s="12" t="s">
        <v>244</v>
      </c>
      <c r="J16" s="12">
        <f>SUM(J10:J15)</f>
        <v>201170</v>
      </c>
      <c r="K16" s="13" t="s">
        <v>3</v>
      </c>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yaNSsPKz96fLZDSdWhR5ovFsIGEJjInHl4N4XH1a4Fbri4qoZ5DA1CgaYSVJSY06ASzZUA0fsr0x+UZhFO7ijg==" saltValue="om1U+hCJUFuG6pmJpPecA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227</v>
      </c>
      <c r="C10" s="21">
        <f>'Fane 10. Anlægsprojekter (§ 19)'!H16</f>
        <v>0</v>
      </c>
      <c r="D10" s="14" t="s">
        <v>3</v>
      </c>
      <c r="E10" s="9">
        <f>SUM('Fane 10. Anlægsprojekter (§ 19)'!F16,'Fane 10. Anlægsprojekter (§ 19)'!J16)</f>
        <v>335636.92666666664</v>
      </c>
      <c r="F10" s="14" t="s">
        <v>3</v>
      </c>
      <c r="G10" s="1"/>
    </row>
    <row r="11" spans="1:7" x14ac:dyDescent="0.25">
      <c r="A11" s="1"/>
      <c r="B11" s="23" t="s">
        <v>280</v>
      </c>
      <c r="C11" s="21">
        <v>434</v>
      </c>
      <c r="D11" s="14" t="s">
        <v>3</v>
      </c>
      <c r="E11" s="9">
        <v>389</v>
      </c>
      <c r="F11" s="14" t="s">
        <v>3</v>
      </c>
      <c r="G11" s="1"/>
    </row>
    <row r="12" spans="1:7" x14ac:dyDescent="0.25">
      <c r="A12" s="1"/>
      <c r="B12" s="23" t="s">
        <v>281</v>
      </c>
      <c r="C12" s="21">
        <v>209000</v>
      </c>
      <c r="D12" s="14" t="s">
        <v>3</v>
      </c>
      <c r="E12" s="9">
        <v>237066</v>
      </c>
      <c r="F12" s="14" t="s">
        <v>3</v>
      </c>
      <c r="G12" s="1"/>
    </row>
    <row r="13" spans="1:7" x14ac:dyDescent="0.25">
      <c r="A13" s="1"/>
      <c r="B13" s="32" t="s">
        <v>156</v>
      </c>
      <c r="C13" s="12">
        <f>SUM(C10:C12)</f>
        <v>209434</v>
      </c>
      <c r="D13" s="13" t="s">
        <v>3</v>
      </c>
      <c r="E13" s="12">
        <f>SUM(E10:E12)</f>
        <v>573091.92666666664</v>
      </c>
      <c r="F13" s="13" t="s">
        <v>3</v>
      </c>
      <c r="G13" s="1"/>
    </row>
    <row r="14" spans="1:7" x14ac:dyDescent="0.25">
      <c r="A14" s="1"/>
      <c r="B14" s="32" t="s">
        <v>214</v>
      </c>
      <c r="C14" s="12">
        <f>C13*(1+'Fane 15. Nøgletal'!C15)</f>
        <v>216889.85040000002</v>
      </c>
      <c r="D14" s="13" t="s">
        <v>3</v>
      </c>
      <c r="E14" s="12">
        <f>E13*(1+'Fane 15. Nøgletal'!C15)</f>
        <v>593493.99925600004</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N0dt5+qsW/6n6hwAYfenPMFOItwQkJrU2WzVvj84sKWoDoFUCsTyH6HmvNVjRN0KX4ETR2BCL5k9aXJ1dstyA==" saltValue="U/naQWsVwCd04+NuXvhCm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258</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4" t="s">
        <v>17</v>
      </c>
      <c r="C9" s="84" t="s">
        <v>11</v>
      </c>
      <c r="D9" s="85"/>
      <c r="E9" s="84" t="s">
        <v>31</v>
      </c>
      <c r="F9" s="31"/>
      <c r="G9" s="1"/>
    </row>
    <row r="10" spans="1:7" x14ac:dyDescent="0.25">
      <c r="A10" s="1"/>
      <c r="B10" s="23" t="s">
        <v>282</v>
      </c>
      <c r="C10" s="21">
        <v>0</v>
      </c>
      <c r="D10" s="14" t="s">
        <v>3</v>
      </c>
      <c r="E10" s="9">
        <v>0</v>
      </c>
      <c r="F10" s="14" t="s">
        <v>3</v>
      </c>
      <c r="G10" s="1"/>
    </row>
    <row r="11" spans="1:7" x14ac:dyDescent="0.25">
      <c r="A11" s="1"/>
      <c r="B11" s="32" t="s">
        <v>233</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sheetData>
  <sheetProtection algorithmName="SHA-512" hashValue="9Kwxyaa0rI0vSEjgWzvK2Y17kttNB31+VzHKH8gYndOprzIFj2VfXOp+OrsuighifSyPwFCo+UNOxOV4Wb8lHQ==" saltValue="TNWo+1ESaZg3pv5n3xTgP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225</v>
      </c>
      <c r="C10" s="160"/>
      <c r="D10" s="161"/>
      <c r="E10" s="9">
        <v>108151.42037362148</v>
      </c>
      <c r="F10" s="14" t="s">
        <v>3</v>
      </c>
      <c r="G10" s="1"/>
    </row>
    <row r="11" spans="1:7" x14ac:dyDescent="0.25">
      <c r="A11" s="1"/>
      <c r="B11" s="125" t="s">
        <v>10</v>
      </c>
      <c r="C11" s="126"/>
      <c r="D11" s="127"/>
      <c r="E11" s="9">
        <f>-E10*'Fane 5. Individuelt eff. krav'!G9</f>
        <v>-417.24847083295458</v>
      </c>
      <c r="F11" s="14" t="s">
        <v>3</v>
      </c>
      <c r="G11" s="1"/>
    </row>
    <row r="12" spans="1:7" x14ac:dyDescent="0.25">
      <c r="A12" s="1"/>
      <c r="B12" s="125" t="s">
        <v>24</v>
      </c>
      <c r="C12" s="126"/>
      <c r="D12" s="127"/>
      <c r="E12" s="9">
        <f>-E10*'Fane 15. Nøgletal'!C31</f>
        <v>-2163.0284074724295</v>
      </c>
      <c r="F12" s="14" t="s">
        <v>3</v>
      </c>
      <c r="G12" s="1"/>
    </row>
    <row r="13" spans="1:7" x14ac:dyDescent="0.25">
      <c r="A13" s="1"/>
      <c r="B13" s="131" t="s">
        <v>92</v>
      </c>
      <c r="C13" s="132"/>
      <c r="D13" s="133"/>
      <c r="E13" s="12">
        <f>SUM(E10:E12)*(1+'Fane 15. Nøgletal'!C15)^2</f>
        <v>113221.60555660284</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225</v>
      </c>
      <c r="C16" s="160"/>
      <c r="D16" s="161"/>
      <c r="E16" s="9">
        <v>108151.42037362148</v>
      </c>
      <c r="F16" s="14" t="s">
        <v>3</v>
      </c>
      <c r="G16" s="1"/>
    </row>
    <row r="17" spans="1:7" x14ac:dyDescent="0.25">
      <c r="A17" s="1"/>
      <c r="B17" s="125" t="s">
        <v>10</v>
      </c>
      <c r="C17" s="126"/>
      <c r="D17" s="127"/>
      <c r="E17" s="9">
        <f>-E16*'Fane 5. Individuelt eff. krav'!G9</f>
        <v>-417.24847083295458</v>
      </c>
      <c r="F17" s="14" t="s">
        <v>3</v>
      </c>
      <c r="G17" s="1"/>
    </row>
    <row r="18" spans="1:7" x14ac:dyDescent="0.25">
      <c r="A18" s="1"/>
      <c r="B18" s="125" t="s">
        <v>24</v>
      </c>
      <c r="C18" s="126"/>
      <c r="D18" s="127"/>
      <c r="E18" s="9">
        <f>-E16*'Fane 15. Nøgletal'!C31</f>
        <v>-2163.0284074724295</v>
      </c>
      <c r="F18" s="14" t="s">
        <v>3</v>
      </c>
      <c r="G18" s="1"/>
    </row>
    <row r="19" spans="1:7" x14ac:dyDescent="0.25">
      <c r="A19" s="1"/>
      <c r="B19" s="131" t="s">
        <v>131</v>
      </c>
      <c r="C19" s="132"/>
      <c r="D19" s="133"/>
      <c r="E19" s="12">
        <f>SUM(E16:E18)*(1+'Fane 15. Nøgletal'!C15)^3</f>
        <v>117252.29471441791</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225</v>
      </c>
      <c r="C22" s="160"/>
      <c r="D22" s="161"/>
      <c r="E22" s="9">
        <v>108151.42037362148</v>
      </c>
      <c r="F22" s="14" t="s">
        <v>3</v>
      </c>
      <c r="G22" s="1"/>
    </row>
    <row r="23" spans="1:7" x14ac:dyDescent="0.25">
      <c r="A23" s="1"/>
      <c r="B23" s="125" t="s">
        <v>10</v>
      </c>
      <c r="C23" s="126"/>
      <c r="D23" s="127"/>
      <c r="E23" s="9">
        <f>-E22*'Fane 5. Individuelt eff. krav'!G9</f>
        <v>-417.24847083295458</v>
      </c>
      <c r="F23" s="14" t="s">
        <v>3</v>
      </c>
      <c r="G23" s="1"/>
    </row>
    <row r="24" spans="1:7" x14ac:dyDescent="0.25">
      <c r="A24" s="1"/>
      <c r="B24" s="125" t="s">
        <v>24</v>
      </c>
      <c r="C24" s="126"/>
      <c r="D24" s="127"/>
      <c r="E24" s="9">
        <f>-E22*'Fane 15. Nøgletal'!C31</f>
        <v>-2163.0284074724295</v>
      </c>
      <c r="F24" s="14" t="s">
        <v>3</v>
      </c>
      <c r="G24" s="1"/>
    </row>
    <row r="25" spans="1:7" x14ac:dyDescent="0.25">
      <c r="A25" s="1"/>
      <c r="B25" s="131" t="s">
        <v>158</v>
      </c>
      <c r="C25" s="132"/>
      <c r="D25" s="133"/>
      <c r="E25" s="12">
        <f>SUM(E22:E24)*(1+'Fane 15. Nøgletal'!C15)^4</f>
        <v>121426.47640625118</v>
      </c>
      <c r="F25" s="13" t="s">
        <v>3</v>
      </c>
      <c r="G25" s="1"/>
    </row>
    <row r="26" spans="1:7" x14ac:dyDescent="0.25">
      <c r="A26" s="1"/>
      <c r="B26" s="1"/>
      <c r="C26" s="1"/>
      <c r="D26" s="1"/>
      <c r="E26" s="1"/>
      <c r="F26" s="1"/>
      <c r="G26" s="1"/>
    </row>
    <row r="27" spans="1:7" ht="15" customHeight="1" x14ac:dyDescent="0.25">
      <c r="A27" s="1"/>
      <c r="B27" s="131" t="s">
        <v>215</v>
      </c>
      <c r="C27" s="132"/>
      <c r="D27" s="132"/>
      <c r="E27" s="132"/>
      <c r="F27" s="133"/>
      <c r="G27" s="1"/>
    </row>
    <row r="28" spans="1:7" ht="14.25" customHeight="1" x14ac:dyDescent="0.25">
      <c r="A28" s="1"/>
      <c r="B28" s="159" t="s">
        <v>225</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216</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owfUENzcIfnxiLd4wse56Nhs4Ar4oFUsuBrRp/s0za5bBWFujMC+zSFNQMEp7MgxOL7cEprbcKGLijr3vU+pw==" saltValue="1MSDsBykAoGULY5nORWDr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42578125" style="2" customWidth="1"/>
    <col min="2" max="2" width="39.7109375" style="2" customWidth="1"/>
    <col min="3" max="3" width="15.5703125" style="2" customWidth="1"/>
    <col min="4" max="4" width="3.28515625" style="2" customWidth="1"/>
    <col min="5" max="5" width="17.140625" style="2" customWidth="1"/>
    <col min="6" max="6" width="6.7109375" style="2" customWidth="1"/>
    <col min="7" max="7" width="2"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WIGlv5hy6Eoa0GmNE4RUY/7ByWYtMUMXka+cry3PeMKns7Kdg4dgNxexfQF3DFnuIYc4AiQyjzh2aarWF7Pyg==" saltValue="1Xxb9CvyhcNufhRlFHJsP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261</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235</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iw2UrMkmnt4r2gNI/7N144X6Tq7Jwy8+/SqgDISCu+2Er71TU/xw7AjhyJZGLmUOeZowVesroWnqC8GtoWW0w==" saltValue="+pgKC1+i/xCYzkJ1v13Sl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182</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66414510.447805464</v>
      </c>
      <c r="D9" s="8" t="s">
        <v>3</v>
      </c>
      <c r="E9" s="1"/>
    </row>
    <row r="10" spans="1:5" ht="17.25" customHeight="1" x14ac:dyDescent="0.25">
      <c r="A10" s="1"/>
      <c r="B10" s="83" t="s">
        <v>39</v>
      </c>
      <c r="C10" s="7">
        <f>'Fane 11.1. Varige tillæg'!C14</f>
        <v>216889.85040000002</v>
      </c>
      <c r="D10" s="8" t="s">
        <v>3</v>
      </c>
      <c r="E10" s="1"/>
    </row>
    <row r="11" spans="1:5" ht="17.25" customHeight="1" x14ac:dyDescent="0.25">
      <c r="A11" s="1"/>
      <c r="B11" s="83" t="s">
        <v>40</v>
      </c>
      <c r="C11" s="9">
        <f>'Fane 11.1. Varige tillæg'!E14</f>
        <v>593493.99925600004</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248017.54952551163</v>
      </c>
      <c r="D16" s="8" t="s">
        <v>3</v>
      </c>
      <c r="E16" s="1"/>
    </row>
    <row r="17" spans="1:5" ht="17.25" customHeight="1" x14ac:dyDescent="0.25">
      <c r="A17" s="1"/>
      <c r="B17" s="83" t="s">
        <v>10</v>
      </c>
      <c r="C17" s="44">
        <f>-SUM(C9,C10:C16)*'Fane 5. Individuelt eff. krav'!G9</f>
        <v>-260310.67547281765</v>
      </c>
      <c r="D17" s="8" t="s">
        <v>3</v>
      </c>
      <c r="E17" s="1"/>
    </row>
    <row r="18" spans="1:5" ht="17.25" customHeight="1" x14ac:dyDescent="0.25">
      <c r="A18" s="1"/>
      <c r="B18" s="83" t="s">
        <v>24</v>
      </c>
      <c r="C18" s="44">
        <f>-'Fane 4.1. Gen. krav - drift'!G45</f>
        <v>-455152.67099372379</v>
      </c>
      <c r="D18" s="8" t="s">
        <v>3</v>
      </c>
      <c r="E18" s="1"/>
    </row>
    <row r="19" spans="1:5" ht="17.25" customHeight="1" x14ac:dyDescent="0.25">
      <c r="A19" s="1"/>
      <c r="B19" s="83" t="s">
        <v>25</v>
      </c>
      <c r="C19" s="44">
        <f>-'Fane 4.2. Gen. krav - anlæg'!G43</f>
        <v>-690596.50792883558</v>
      </c>
      <c r="D19" s="8" t="s">
        <v>3</v>
      </c>
      <c r="E19" s="48"/>
    </row>
    <row r="20" spans="1:5" ht="17.25" customHeight="1" x14ac:dyDescent="0.25">
      <c r="A20" s="1"/>
      <c r="B20" s="89" t="s">
        <v>21</v>
      </c>
      <c r="C20" s="10">
        <f>SUM(C9:C19)</f>
        <v>66066851.992591612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1868056.9370348547</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113221.60555660284</v>
      </c>
      <c r="D24" s="11" t="s">
        <v>3</v>
      </c>
      <c r="E24" s="1"/>
    </row>
    <row r="25" spans="1:5" ht="15" customHeight="1" x14ac:dyDescent="0.25">
      <c r="A25" s="1"/>
      <c r="B25" s="47" t="s">
        <v>85</v>
      </c>
      <c r="C25" s="45"/>
      <c r="D25" s="46"/>
      <c r="E25" s="1"/>
    </row>
    <row r="26" spans="1:5" ht="15" customHeight="1" x14ac:dyDescent="0.25">
      <c r="A26" s="1"/>
      <c r="B26" s="83" t="s">
        <v>232</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239</v>
      </c>
      <c r="C28" s="75">
        <f>-C26*('Fane 15. Nøgletal'!C31+'Fane 5. Individuelt eff. krav'!G9)</f>
        <v>0</v>
      </c>
      <c r="D28" s="8" t="s">
        <v>3</v>
      </c>
      <c r="E28" s="1"/>
    </row>
    <row r="29" spans="1:5" ht="15" customHeight="1" x14ac:dyDescent="0.25">
      <c r="A29" s="1"/>
      <c r="B29" s="83" t="s">
        <v>240</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181</v>
      </c>
      <c r="C32" s="10">
        <f>'Fane 7. Kontrol af ØR2021'!E28</f>
        <v>0</v>
      </c>
      <c r="D32" s="11" t="s">
        <v>3</v>
      </c>
      <c r="E32" s="1"/>
    </row>
    <row r="33" spans="1:5" ht="15" customHeight="1" x14ac:dyDescent="0.25">
      <c r="A33" s="1"/>
      <c r="B33" s="32" t="s">
        <v>186</v>
      </c>
      <c r="C33" s="27"/>
      <c r="D33" s="19"/>
      <c r="E33" s="1"/>
    </row>
    <row r="34" spans="1:5" x14ac:dyDescent="0.25">
      <c r="A34" s="1"/>
      <c r="B34" s="30" t="s">
        <v>186</v>
      </c>
      <c r="C34" s="10">
        <f>'Fane 9. Korrektion af ØR2021'!E17</f>
        <v>-407366</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67640764.535183072</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NNFmSyauXJaa0q7JyGkXy4xou2I5cWPPaU51Tj5yE7ZkhZmtKBRuoUWSdCbYegi7xRVQGtvDNQdyQlhNPEBMQ==" saltValue="B8Gnxn4ew4qCkPtp/bCUw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262</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224</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217</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UC8VcEk9+syWw2WaRyLjXuEjlPGlq203jCDXo49ZRxG/chhOWlv3mM9BgOJI7u5NPvbsCdTBTnHOh5ZKwnuBZA==" saltValue="pIQzq6TzKJJu0tdRpq7rg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66066851.992591612</v>
      </c>
      <c r="D9" s="8" t="s">
        <v>3</v>
      </c>
      <c r="E9" s="1"/>
    </row>
    <row r="10" spans="1:5" ht="15" customHeight="1" x14ac:dyDescent="0.25">
      <c r="A10" s="1"/>
      <c r="B10" s="25" t="s">
        <v>19</v>
      </c>
      <c r="C10" s="7">
        <f>SUM(C9:C9)*'Fane 15. Nøgletal'!C15</f>
        <v>2351979.9309362615</v>
      </c>
      <c r="D10" s="8" t="s">
        <v>3</v>
      </c>
      <c r="E10" s="1"/>
    </row>
    <row r="11" spans="1:5" ht="15" customHeight="1" x14ac:dyDescent="0.25">
      <c r="A11" s="1"/>
      <c r="B11" s="25" t="s">
        <v>10</v>
      </c>
      <c r="C11" s="9">
        <f>-SUM(C9:C10)*'Fane 5. Individuelt eff. krav'!G9</f>
        <v>-263960.0376735488</v>
      </c>
      <c r="D11" s="8" t="s">
        <v>3</v>
      </c>
      <c r="E11" s="1"/>
    </row>
    <row r="12" spans="1:5" ht="15" customHeight="1" x14ac:dyDescent="0.25">
      <c r="A12" s="1"/>
      <c r="B12" s="25" t="s">
        <v>24</v>
      </c>
      <c r="C12" s="9">
        <f>-'Fane 4.1. Gen. krav - drift'!G53</f>
        <v>-461928.98395947844</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67692942.901894838</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1934559.7639932956</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117252.29471441791</v>
      </c>
      <c r="D18" s="11" t="s">
        <v>3</v>
      </c>
      <c r="E18" s="1"/>
    </row>
    <row r="19" spans="1:5" x14ac:dyDescent="0.25">
      <c r="A19" s="1"/>
      <c r="B19" s="32" t="s">
        <v>143</v>
      </c>
      <c r="C19" s="27"/>
      <c r="D19" s="19"/>
      <c r="E19" s="1"/>
    </row>
    <row r="20" spans="1:5" ht="15" customHeight="1" x14ac:dyDescent="0.25">
      <c r="A20" s="1"/>
      <c r="B20" s="30" t="s">
        <v>181</v>
      </c>
      <c r="C20" s="10">
        <f>'Fane 7. Kontrol af ØR2021'!E34</f>
        <v>-230710.85763894767</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69514044.102963597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WCYPxINPfDjXCp0iCzQgYK3FBsUcR09hVrWqoCIdfC35pIMRJOe+gZSqTyqyRQA0xwTZQi7Fy32Hdg4ID4T4Vg==" saltValue="kHXp0tyshcAIT4p44EW0I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234</v>
      </c>
      <c r="C9" s="7">
        <f>'Fane 2.2. Økonomisk ramme 2024'!C14</f>
        <v>67692942.901894838</v>
      </c>
      <c r="D9" s="8" t="s">
        <v>3</v>
      </c>
      <c r="E9" s="1"/>
    </row>
    <row r="10" spans="1:5" ht="15" customHeight="1" x14ac:dyDescent="0.25">
      <c r="A10" s="1"/>
      <c r="B10" s="25" t="s">
        <v>19</v>
      </c>
      <c r="C10" s="7">
        <f>SUM(C9:C9)*'Fane 15. Nøgletal'!C15</f>
        <v>2409868.7673074561</v>
      </c>
      <c r="D10" s="8" t="s">
        <v>3</v>
      </c>
      <c r="E10" s="1"/>
    </row>
    <row r="11" spans="1:5" ht="15" customHeight="1" x14ac:dyDescent="0.25">
      <c r="A11" s="1"/>
      <c r="B11" s="25" t="s">
        <v>10</v>
      </c>
      <c r="C11" s="9">
        <f>-SUM(C9:C10)*'Fane 5. Individuelt eff. krav'!G9</f>
        <v>-270456.83606388874</v>
      </c>
      <c r="D11" s="8" t="s">
        <v>3</v>
      </c>
      <c r="E11" s="1"/>
    </row>
    <row r="12" spans="1:5" ht="15" customHeight="1" x14ac:dyDescent="0.25">
      <c r="A12" s="1"/>
      <c r="B12" s="25" t="s">
        <v>24</v>
      </c>
      <c r="C12" s="9">
        <f>-'Fane 4.1. Gen. krav - drift'!G58</f>
        <v>-468806.1826726672</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69363548.650465742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2003430.0915914569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121426.47640625118</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-230710.85763894767</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71257694.360824496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gI2UhCDIA4VbcD1haAIZYER3JuuDZJ9pdlhy6E2/3V273VqgHEu//St0xcuqV8XyiOZxwDYpgSi3YMVOWmkXJw==" saltValue="eLfp+UZMxcYRI6K/BY1cc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189</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69363548.650465742</v>
      </c>
      <c r="D9" s="8" t="s">
        <v>3</v>
      </c>
      <c r="E9" s="1"/>
    </row>
    <row r="10" spans="1:5" ht="15" customHeight="1" x14ac:dyDescent="0.25">
      <c r="A10" s="1"/>
      <c r="B10" s="25" t="s">
        <v>19</v>
      </c>
      <c r="C10" s="7">
        <f>SUM(C9:C9)*'Fane 15. Nøgletal'!C15</f>
        <v>2469342.3319565803</v>
      </c>
      <c r="D10" s="8" t="s">
        <v>3</v>
      </c>
      <c r="E10" s="1"/>
    </row>
    <row r="11" spans="1:5" ht="15" customHeight="1" x14ac:dyDescent="0.25">
      <c r="A11" s="1"/>
      <c r="B11" s="25" t="s">
        <v>10</v>
      </c>
      <c r="C11" s="9">
        <f>-SUM(C9:C10)*'Fane 5. Individuelt eff. krav'!G9</f>
        <v>-277131.48670987185</v>
      </c>
      <c r="D11" s="8" t="s">
        <v>3</v>
      </c>
      <c r="E11" s="1"/>
    </row>
    <row r="12" spans="1:5" ht="15" customHeight="1" x14ac:dyDescent="0.25">
      <c r="A12" s="1"/>
      <c r="B12" s="25" t="s">
        <v>24</v>
      </c>
      <c r="C12" s="9">
        <f>-'Fane 4.1. Gen. krav - drift'!G63</f>
        <v>-475785.76912029786</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71079973.726592153</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2074752.2028521129</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-230710.85763894767</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191</v>
      </c>
      <c r="C23" s="12">
        <f>SUM(C14,C16,C18,C20,C22)</f>
        <v>72924015.071805328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kSq2HD+G7TjVQBZI3z6zhYSppOHbbdB16RrCTXQGownL7yF6lZo8VczmRf2c/HX2yAkfyvCgMXgJijGR+XJf/w==" saltValue="HAFK38is0xx5/mmtaqU/8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192</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295</v>
      </c>
      <c r="C8" s="27"/>
      <c r="D8" s="27"/>
      <c r="E8" s="27"/>
      <c r="F8" s="19"/>
      <c r="G8" s="1"/>
    </row>
    <row r="9" spans="1:7" ht="15" customHeight="1" x14ac:dyDescent="0.25">
      <c r="A9" s="1"/>
      <c r="B9" s="121" t="s">
        <v>193</v>
      </c>
      <c r="C9" s="122"/>
      <c r="D9" s="123"/>
      <c r="E9" s="7">
        <v>66663963.604410738</v>
      </c>
      <c r="F9" s="8" t="s">
        <v>3</v>
      </c>
      <c r="G9" s="1"/>
    </row>
    <row r="10" spans="1:7" ht="15" customHeight="1" x14ac:dyDescent="0.25">
      <c r="A10" s="1"/>
      <c r="B10" s="125" t="s">
        <v>39</v>
      </c>
      <c r="C10" s="126"/>
      <c r="D10" s="127"/>
      <c r="E10" s="7">
        <v>318547.75</v>
      </c>
      <c r="F10" s="8" t="s">
        <v>3</v>
      </c>
      <c r="G10" s="1"/>
    </row>
    <row r="11" spans="1:7" ht="15" customHeight="1" x14ac:dyDescent="0.25">
      <c r="A11" s="1"/>
      <c r="B11" s="125" t="s">
        <v>40</v>
      </c>
      <c r="C11" s="126"/>
      <c r="D11" s="127"/>
      <c r="E11" s="9">
        <v>627596.83082533337</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223113.35701127903</v>
      </c>
      <c r="F16" s="8" t="s">
        <v>3</v>
      </c>
      <c r="G16" s="1"/>
    </row>
    <row r="17" spans="1:7" ht="15" customHeight="1" x14ac:dyDescent="0.25">
      <c r="A17" s="1"/>
      <c r="B17" s="121" t="s">
        <v>10</v>
      </c>
      <c r="C17" s="122"/>
      <c r="D17" s="123"/>
      <c r="E17" s="9">
        <v>-261700.75124671235</v>
      </c>
      <c r="F17" s="8" t="s">
        <v>3</v>
      </c>
      <c r="G17" s="1"/>
    </row>
    <row r="18" spans="1:7" ht="15" customHeight="1" x14ac:dyDescent="0.25">
      <c r="A18" s="1"/>
      <c r="B18" s="121" t="s">
        <v>24</v>
      </c>
      <c r="C18" s="122"/>
      <c r="D18" s="123"/>
      <c r="E18" s="9">
        <f>-'Fane 4.1. Gen. krav - drift'!G39</f>
        <v>-458345.06171698595</v>
      </c>
      <c r="F18" s="8" t="s">
        <v>3</v>
      </c>
      <c r="G18" s="1"/>
    </row>
    <row r="19" spans="1:7" ht="15" customHeight="1" x14ac:dyDescent="0.25">
      <c r="A19" s="1"/>
      <c r="B19" s="121" t="s">
        <v>25</v>
      </c>
      <c r="C19" s="122"/>
      <c r="D19" s="123"/>
      <c r="E19" s="9">
        <f>-'Fane 4.2. Gen. krav - anlæg'!G37</f>
        <v>-698665.28147818206</v>
      </c>
      <c r="F19" s="8" t="s">
        <v>3</v>
      </c>
      <c r="G19" s="1"/>
    </row>
    <row r="20" spans="1:7" ht="15" customHeight="1" x14ac:dyDescent="0.25">
      <c r="A20" s="1"/>
      <c r="B20" s="54" t="s">
        <v>21</v>
      </c>
      <c r="C20" s="90"/>
      <c r="D20" s="96"/>
      <c r="E20" s="51">
        <f>SUM(E9:E19)</f>
        <v>66414510.447805464</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1744851.8476731966</v>
      </c>
      <c r="F22" s="11" t="s">
        <v>3</v>
      </c>
      <c r="G22" s="1"/>
    </row>
    <row r="23" spans="1:7" ht="15" customHeight="1" x14ac:dyDescent="0.25">
      <c r="A23" s="1"/>
      <c r="B23" s="131" t="s">
        <v>86</v>
      </c>
      <c r="C23" s="132"/>
      <c r="D23" s="133"/>
      <c r="E23" s="27"/>
      <c r="F23" s="19"/>
      <c r="G23" s="1"/>
    </row>
    <row r="24" spans="1:7" ht="15" customHeight="1" x14ac:dyDescent="0.25">
      <c r="A24" s="1"/>
      <c r="B24" s="89" t="s">
        <v>86</v>
      </c>
      <c r="C24" s="37"/>
      <c r="D24" s="38"/>
      <c r="E24" s="10">
        <v>104988.2065917189</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-407366</v>
      </c>
      <c r="F32" s="11" t="s">
        <v>3</v>
      </c>
      <c r="G32" s="1"/>
    </row>
    <row r="33" spans="1:7" ht="15.4" customHeight="1" x14ac:dyDescent="0.25">
      <c r="A33" s="1"/>
      <c r="B33" s="131" t="s">
        <v>175</v>
      </c>
      <c r="C33" s="132"/>
      <c r="D33" s="132"/>
      <c r="E33" s="132"/>
      <c r="F33" s="133"/>
      <c r="G33" s="1"/>
    </row>
    <row r="34" spans="1:7" ht="15.4" customHeight="1" x14ac:dyDescent="0.25">
      <c r="A34" s="1"/>
      <c r="B34" s="95" t="s">
        <v>176</v>
      </c>
      <c r="C34" s="10"/>
      <c r="D34" s="11"/>
      <c r="E34" s="10">
        <f>'Fane 8. Skattesagen'!G11</f>
        <v>0</v>
      </c>
      <c r="F34" s="11" t="s">
        <v>3</v>
      </c>
      <c r="G34" s="1"/>
    </row>
    <row r="35" spans="1:7" x14ac:dyDescent="0.25">
      <c r="A35" s="1"/>
      <c r="B35" s="55" t="s">
        <v>219</v>
      </c>
      <c r="C35" s="56"/>
      <c r="D35" s="19"/>
      <c r="E35" s="45">
        <f>SUM(E32,E30,E28,E24,E22,E20,E34)</f>
        <v>67856984.502070382</v>
      </c>
      <c r="F35" s="52" t="s">
        <v>3</v>
      </c>
      <c r="G35" s="1"/>
    </row>
    <row r="36" spans="1:7" ht="27" customHeight="1" x14ac:dyDescent="0.25">
      <c r="A36" s="1"/>
      <c r="B36" s="121" t="s">
        <v>223</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Ud+haSZXRWWUNoDLrVF+wKwm/PLnSbrsN4evCk39kJOmLh5dGlcXlkHN6pSqm8juL6glirVJ66i7GDVAs0Y3hA==" saltValue="PuRGxtka8gMgK2WJf18L6A==" spinCount="100000" sheet="1" objects="1" scenarios="1"/>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6">
        <v>22792929.192677006</v>
      </c>
      <c r="H5" s="14" t="s">
        <v>3</v>
      </c>
      <c r="I5" s="1"/>
    </row>
    <row r="6" spans="1:9" x14ac:dyDescent="0.25">
      <c r="A6" s="1"/>
      <c r="B6" s="121" t="s">
        <v>120</v>
      </c>
      <c r="C6" s="122"/>
      <c r="D6" s="122"/>
      <c r="E6" s="122"/>
      <c r="F6" s="123"/>
      <c r="G6" s="77">
        <v>472818</v>
      </c>
      <c r="H6" s="14" t="s">
        <v>3</v>
      </c>
      <c r="I6" s="1"/>
    </row>
    <row r="7" spans="1:9" x14ac:dyDescent="0.25">
      <c r="A7" s="1"/>
      <c r="B7" s="136" t="s">
        <v>42</v>
      </c>
      <c r="C7" s="137"/>
      <c r="D7" s="137"/>
      <c r="E7" s="137"/>
      <c r="F7" s="138"/>
      <c r="G7" s="76">
        <f>SUM(G5:G6)*'Fane 15. Nøgletal'!C31</f>
        <v>465314.94385354011</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6">
        <f>(G5-G7)*(1+'Fane 15. Nøgletal'!C10)</f>
        <v>22718347.498177879</v>
      </c>
      <c r="H11" s="14" t="s">
        <v>3</v>
      </c>
      <c r="I11" s="1"/>
    </row>
    <row r="12" spans="1:9" ht="15" customHeight="1" x14ac:dyDescent="0.25">
      <c r="A12" s="1"/>
      <c r="B12" s="136" t="s">
        <v>121</v>
      </c>
      <c r="C12" s="137"/>
      <c r="D12" s="137"/>
      <c r="E12" s="137"/>
      <c r="F12" s="138"/>
      <c r="G12" s="77">
        <v>-55321.868196651849</v>
      </c>
      <c r="H12" s="14" t="s">
        <v>3</v>
      </c>
      <c r="I12" s="1"/>
    </row>
    <row r="13" spans="1:9" x14ac:dyDescent="0.25">
      <c r="A13" s="1"/>
      <c r="B13" s="121" t="s">
        <v>118</v>
      </c>
      <c r="C13" s="122"/>
      <c r="D13" s="122"/>
      <c r="E13" s="122"/>
      <c r="F13" s="123"/>
      <c r="G13" s="77">
        <v>481091.29750000004</v>
      </c>
      <c r="H13" s="14" t="s">
        <v>3</v>
      </c>
      <c r="I13" s="1"/>
    </row>
    <row r="14" spans="1:9" x14ac:dyDescent="0.25">
      <c r="A14" s="1"/>
      <c r="B14" s="143" t="s">
        <v>44</v>
      </c>
      <c r="C14" s="144"/>
      <c r="D14" s="144"/>
      <c r="E14" s="144"/>
      <c r="F14" s="145"/>
      <c r="G14" s="77">
        <v>0</v>
      </c>
      <c r="H14" s="14" t="s">
        <v>3</v>
      </c>
      <c r="I14" s="1"/>
    </row>
    <row r="15" spans="1:9" x14ac:dyDescent="0.25">
      <c r="A15" s="1"/>
      <c r="B15" s="136" t="s">
        <v>45</v>
      </c>
      <c r="C15" s="137"/>
      <c r="D15" s="137"/>
      <c r="E15" s="137"/>
      <c r="F15" s="138"/>
      <c r="G15" s="76">
        <f>SUM(G11:G14)*'Fane 15. Nøgletal'!C31</f>
        <v>462882.33854962455</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6">
        <f>(SUM(G11:G12,G14)-(G15))*(1+'Fane 15. Nøgletal'!C10)</f>
        <v>22588645.799031656</v>
      </c>
      <c r="H19" s="14" t="s">
        <v>3</v>
      </c>
      <c r="I19" s="1"/>
    </row>
    <row r="20" spans="1:9" x14ac:dyDescent="0.25">
      <c r="A20" s="1"/>
      <c r="B20" s="143" t="s">
        <v>47</v>
      </c>
      <c r="C20" s="144"/>
      <c r="D20" s="144"/>
      <c r="E20" s="144"/>
      <c r="F20" s="145"/>
      <c r="G20" s="77">
        <v>0</v>
      </c>
      <c r="H20" s="14" t="s">
        <v>3</v>
      </c>
      <c r="I20" s="1"/>
    </row>
    <row r="21" spans="1:9" x14ac:dyDescent="0.25">
      <c r="A21" s="1"/>
      <c r="B21" s="136" t="s">
        <v>48</v>
      </c>
      <c r="C21" s="137"/>
      <c r="D21" s="137"/>
      <c r="E21" s="137"/>
      <c r="F21" s="138"/>
      <c r="G21" s="76">
        <f>SUM(G19:G20)*'Fane 15. Nøgletal'!C31</f>
        <v>451772.91598063312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6">
        <f>(G19+G20-G21)*(1+'Fane 15. Nøgletal'!C12)</f>
        <v>22572969.278847128</v>
      </c>
      <c r="H25" s="14" t="s">
        <v>3</v>
      </c>
      <c r="I25" s="1"/>
    </row>
    <row r="26" spans="1:9" x14ac:dyDescent="0.25">
      <c r="A26" s="1"/>
      <c r="B26" s="143" t="s">
        <v>50</v>
      </c>
      <c r="C26" s="144"/>
      <c r="D26" s="144"/>
      <c r="E26" s="144"/>
      <c r="F26" s="145"/>
      <c r="G26" s="77">
        <v>147026.03592600001</v>
      </c>
      <c r="H26" s="14" t="s">
        <v>3</v>
      </c>
      <c r="I26" s="1"/>
    </row>
    <row r="27" spans="1:9" x14ac:dyDescent="0.25">
      <c r="A27" s="1"/>
      <c r="B27" s="136" t="s">
        <v>51</v>
      </c>
      <c r="C27" s="137"/>
      <c r="D27" s="137"/>
      <c r="E27" s="137"/>
      <c r="F27" s="138"/>
      <c r="G27" s="76">
        <f>(G25+G26)*'Fane 15. Nøgletal'!C31</f>
        <v>454399.90629546257</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6">
        <f>(G25+G26-G27)*(1+'Fane 15. Nøgletal'!C12)</f>
        <v>22704227.638024677</v>
      </c>
      <c r="H31" s="14" t="s">
        <v>3</v>
      </c>
      <c r="I31" s="1"/>
    </row>
    <row r="32" spans="1:9" x14ac:dyDescent="0.25">
      <c r="A32" s="1"/>
      <c r="B32" s="136" t="s">
        <v>137</v>
      </c>
      <c r="C32" s="137"/>
      <c r="D32" s="137"/>
      <c r="E32" s="137"/>
      <c r="F32" s="138"/>
      <c r="G32" s="76">
        <v>278759.2483872</v>
      </c>
      <c r="H32" s="14" t="s">
        <v>3</v>
      </c>
      <c r="I32" s="1"/>
    </row>
    <row r="33" spans="1:9" x14ac:dyDescent="0.25">
      <c r="A33" s="1"/>
      <c r="B33" s="136" t="s">
        <v>60</v>
      </c>
      <c r="C33" s="137"/>
      <c r="D33" s="137"/>
      <c r="E33" s="137"/>
      <c r="F33" s="138"/>
      <c r="G33" s="76">
        <f>(G31+G32)*'Fane 15. Nøgletal'!C31</f>
        <v>459659.73772823752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6">
        <f>(G31+G32-G33)*(1+'Fane 15. Nøgletal'!C14)</f>
        <v>22597654.128274295</v>
      </c>
      <c r="H37" s="14" t="s">
        <v>3</v>
      </c>
      <c r="I37" s="1"/>
    </row>
    <row r="38" spans="1:9" x14ac:dyDescent="0.25">
      <c r="A38" s="1"/>
      <c r="B38" s="136" t="s">
        <v>164</v>
      </c>
      <c r="C38" s="137"/>
      <c r="D38" s="137"/>
      <c r="E38" s="137"/>
      <c r="F38" s="138"/>
      <c r="G38" s="76">
        <v>319598.95757500001</v>
      </c>
      <c r="H38" s="14" t="s">
        <v>3</v>
      </c>
      <c r="I38" s="1"/>
    </row>
    <row r="39" spans="1:9" x14ac:dyDescent="0.25">
      <c r="A39" s="1"/>
      <c r="B39" s="136" t="s">
        <v>162</v>
      </c>
      <c r="C39" s="137"/>
      <c r="D39" s="137"/>
      <c r="E39" s="137"/>
      <c r="F39" s="138"/>
      <c r="G39" s="76">
        <f>(G37+G38)*'Fane 15. Nøgletal'!C31</f>
        <v>458345.06171698595</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39"/>
      <c r="H42" s="133"/>
      <c r="I42" s="1"/>
    </row>
    <row r="43" spans="1:9" x14ac:dyDescent="0.25">
      <c r="A43" s="1"/>
      <c r="B43" s="136" t="s">
        <v>229</v>
      </c>
      <c r="C43" s="137"/>
      <c r="D43" s="137"/>
      <c r="E43" s="137"/>
      <c r="F43" s="138"/>
      <c r="G43" s="76">
        <f>(G37+G38-G39)*(1+'Fane 15. Nøgletal'!C14)</f>
        <v>22533022.420611952</v>
      </c>
      <c r="H43" s="14" t="s">
        <v>3</v>
      </c>
      <c r="I43" s="1"/>
    </row>
    <row r="44" spans="1:9" x14ac:dyDescent="0.25">
      <c r="A44" s="1"/>
      <c r="B44" s="140" t="s">
        <v>231</v>
      </c>
      <c r="C44" s="141"/>
      <c r="D44" s="141"/>
      <c r="E44" s="141"/>
      <c r="F44" s="142"/>
      <c r="G44" s="80">
        <f>('Fane 2.1. Økonomisk ramme 2023'!C10+'Fane 2.1. Økonomisk ramme 2023'!C12+'Fane 2.1. Økonomisk ramme 2023'!C14)*(1+'Fane 15. Nøgletal'!C15)</f>
        <v>224611.12907424005</v>
      </c>
      <c r="H44" s="14" t="s">
        <v>3</v>
      </c>
      <c r="I44" s="1"/>
    </row>
    <row r="45" spans="1:9" x14ac:dyDescent="0.25">
      <c r="A45" s="1"/>
      <c r="B45" s="136" t="s">
        <v>163</v>
      </c>
      <c r="C45" s="137"/>
      <c r="D45" s="137"/>
      <c r="E45" s="137"/>
      <c r="F45" s="138"/>
      <c r="G45" s="76">
        <f>SUM(G43:G44)*'Fane 15. Nøgletal'!C31</f>
        <v>455152.67099372379</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242</v>
      </c>
      <c r="C51" s="132"/>
      <c r="D51" s="132"/>
      <c r="E51" s="132"/>
      <c r="F51" s="132"/>
      <c r="G51" s="139"/>
      <c r="H51" s="133"/>
      <c r="I51" s="1"/>
    </row>
    <row r="52" spans="1:9" x14ac:dyDescent="0.25">
      <c r="A52" s="1"/>
      <c r="B52" s="136" t="s">
        <v>228</v>
      </c>
      <c r="C52" s="137"/>
      <c r="D52" s="137"/>
      <c r="E52" s="137"/>
      <c r="F52" s="138"/>
      <c r="G52" s="76">
        <f>(G43+G44-G45)*(1+'Fane 15. Nøgletal'!C15)</f>
        <v>23096449.197973922</v>
      </c>
      <c r="H52" s="14" t="s">
        <v>3</v>
      </c>
      <c r="I52" s="1"/>
    </row>
    <row r="53" spans="1:9" x14ac:dyDescent="0.25">
      <c r="A53" s="1"/>
      <c r="B53" s="136" t="s">
        <v>138</v>
      </c>
      <c r="C53" s="137"/>
      <c r="D53" s="137"/>
      <c r="E53" s="137"/>
      <c r="F53" s="138"/>
      <c r="G53" s="76">
        <f>(G52)*'Fane 15. Nøgletal'!C31</f>
        <v>461928.98395947844</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39"/>
      <c r="H56" s="133"/>
      <c r="I56" s="1"/>
    </row>
    <row r="57" spans="1:9" x14ac:dyDescent="0.25">
      <c r="A57" s="1"/>
      <c r="B57" s="91" t="s">
        <v>151</v>
      </c>
      <c r="C57" s="92"/>
      <c r="D57" s="92"/>
      <c r="E57" s="92"/>
      <c r="F57" s="93"/>
      <c r="G57" s="76">
        <f>(G52-G53)*(1+'Fane 15. Nøgletal'!C15)</f>
        <v>23440309.13363336</v>
      </c>
      <c r="H57" s="14" t="s">
        <v>3</v>
      </c>
      <c r="I57" s="1"/>
    </row>
    <row r="58" spans="1:9" x14ac:dyDescent="0.25">
      <c r="A58" s="1"/>
      <c r="B58" s="91" t="s">
        <v>152</v>
      </c>
      <c r="C58" s="92"/>
      <c r="D58" s="92"/>
      <c r="E58" s="92"/>
      <c r="F58" s="93"/>
      <c r="G58" s="76">
        <f>(G57)*'Fane 15. Nøgletal'!C31</f>
        <v>468806.1826726672</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194</v>
      </c>
      <c r="C61" s="132"/>
      <c r="D61" s="132"/>
      <c r="E61" s="132"/>
      <c r="F61" s="132"/>
      <c r="G61" s="139"/>
      <c r="H61" s="133"/>
      <c r="I61" s="1"/>
    </row>
    <row r="62" spans="1:9" x14ac:dyDescent="0.25">
      <c r="A62" s="1"/>
      <c r="B62" s="91" t="s">
        <v>195</v>
      </c>
      <c r="C62" s="92"/>
      <c r="D62" s="92"/>
      <c r="E62" s="92"/>
      <c r="F62" s="93"/>
      <c r="G62" s="76">
        <f>(G57-G58)*(1+'Fane 15. Nøgletal'!C15)</f>
        <v>23789288.456014894</v>
      </c>
      <c r="H62" s="14" t="s">
        <v>3</v>
      </c>
      <c r="I62" s="1"/>
    </row>
    <row r="63" spans="1:9" x14ac:dyDescent="0.25">
      <c r="A63" s="1"/>
      <c r="B63" s="91" t="s">
        <v>196</v>
      </c>
      <c r="C63" s="92"/>
      <c r="D63" s="92"/>
      <c r="E63" s="92"/>
      <c r="F63" s="93"/>
      <c r="G63" s="76">
        <f>(G62)*'Fane 15. Nøgletal'!C31</f>
        <v>475785.76912029786</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bqxD9jxTXHR7cmbsAeILTV5l4ocQkQr1pttCzl3oQJeDNwBdf07StxPiE+dFIJPQlK0Abq3MNLCO1+AnnX2g7g==" saltValue="x5hoO4bRuingq0K7hOUs9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106" zoomScaleNormal="100" zoomScalePageLayoutView="106" workbookViewId="0"/>
  </sheetViews>
  <sheetFormatPr defaultColWidth="9.140625" defaultRowHeight="15" x14ac:dyDescent="0.25"/>
  <cols>
    <col min="1" max="1" width="2.140625" style="2" customWidth="1"/>
    <col min="2" max="5" width="9.140625" style="2"/>
    <col min="6" max="6" width="25" style="2" customWidth="1"/>
    <col min="7" max="7" width="14.140625" style="2" customWidth="1"/>
    <col min="8" max="8" width="3.28515625" style="2" customWidth="1"/>
    <col min="9" max="9" width="2.1406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6">
        <v>46913485.86690855</v>
      </c>
      <c r="H5" s="14" t="s">
        <v>3</v>
      </c>
      <c r="I5" s="1"/>
    </row>
    <row r="6" spans="1:9" x14ac:dyDescent="0.25">
      <c r="A6" s="1"/>
      <c r="B6" s="136" t="s">
        <v>57</v>
      </c>
      <c r="C6" s="137"/>
      <c r="D6" s="137"/>
      <c r="E6" s="137"/>
      <c r="F6" s="138"/>
      <c r="G6" s="76">
        <f>G5*'Fane 15. Nøgletal'!C20</f>
        <v>426912.72138886782</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6">
        <f>(G5-G6)*(1+'Fane 15. Nøgletal'!C10)</f>
        <v>47300088.175566278</v>
      </c>
      <c r="H10" s="14" t="s">
        <v>3</v>
      </c>
      <c r="I10" s="1"/>
    </row>
    <row r="11" spans="1:9" x14ac:dyDescent="0.25">
      <c r="A11" s="1"/>
      <c r="B11" s="136" t="s">
        <v>122</v>
      </c>
      <c r="C11" s="137"/>
      <c r="D11" s="137"/>
      <c r="E11" s="137"/>
      <c r="F11" s="138"/>
      <c r="G11" s="76">
        <v>105245.71748111911</v>
      </c>
      <c r="H11" s="14" t="s">
        <v>3</v>
      </c>
      <c r="I11" s="1"/>
    </row>
    <row r="12" spans="1:9" x14ac:dyDescent="0.25">
      <c r="A12" s="1"/>
      <c r="B12" s="143" t="s">
        <v>64</v>
      </c>
      <c r="C12" s="144"/>
      <c r="D12" s="144"/>
      <c r="E12" s="144"/>
      <c r="F12" s="145"/>
      <c r="G12" s="77">
        <v>1535.3591687500002</v>
      </c>
      <c r="H12" s="14" t="s">
        <v>3</v>
      </c>
      <c r="I12" s="1"/>
    </row>
    <row r="13" spans="1:9" x14ac:dyDescent="0.25">
      <c r="A13" s="1"/>
      <c r="B13" s="136" t="s">
        <v>65</v>
      </c>
      <c r="C13" s="137"/>
      <c r="D13" s="137"/>
      <c r="E13" s="137"/>
      <c r="F13" s="138"/>
      <c r="G13" s="76">
        <f>SUM(G10:G12)*'Fane 15. Nøgletal'!C21</f>
        <v>839101.58576422592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6">
        <f>(SUM(G10:G12)-G13)*(1+'Fane 15. Nøgletal'!C10)</f>
        <v>47382703.600614838</v>
      </c>
      <c r="H17" s="14" t="s">
        <v>3</v>
      </c>
      <c r="I17" s="1"/>
    </row>
    <row r="18" spans="1:9" x14ac:dyDescent="0.25">
      <c r="A18" s="1"/>
      <c r="B18" s="143" t="s">
        <v>68</v>
      </c>
      <c r="C18" s="144"/>
      <c r="D18" s="144"/>
      <c r="E18" s="144"/>
      <c r="F18" s="145"/>
      <c r="G18" s="76">
        <v>193175.46463287994</v>
      </c>
      <c r="H18" s="14" t="s">
        <v>3</v>
      </c>
      <c r="I18" s="1"/>
    </row>
    <row r="19" spans="1:9" x14ac:dyDescent="0.25">
      <c r="A19" s="1"/>
      <c r="B19" s="136" t="s">
        <v>69</v>
      </c>
      <c r="C19" s="137"/>
      <c r="D19" s="137"/>
      <c r="E19" s="137"/>
      <c r="F19" s="138"/>
      <c r="G19" s="76">
        <f>G17*'Fane 15. Nøgletal'!C21+G18*'Fane 15. Nøgletal'!C22</f>
        <v>840354.48027318867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6">
        <f>(G17+G18-G19)*(1+'Fane 15. Nøgletal'!C12)</f>
        <v>47656214.41929853</v>
      </c>
      <c r="H23" s="14" t="s">
        <v>3</v>
      </c>
      <c r="I23" s="1"/>
    </row>
    <row r="24" spans="1:9" x14ac:dyDescent="0.25">
      <c r="A24" s="1"/>
      <c r="B24" s="143" t="s">
        <v>72</v>
      </c>
      <c r="C24" s="144"/>
      <c r="D24" s="144"/>
      <c r="E24" s="144"/>
      <c r="F24" s="145"/>
      <c r="G24" s="76">
        <v>292076.25959146139</v>
      </c>
      <c r="H24" s="14" t="s">
        <v>3</v>
      </c>
      <c r="I24" s="1"/>
    </row>
    <row r="25" spans="1:9" x14ac:dyDescent="0.25">
      <c r="A25" s="1"/>
      <c r="B25" s="136" t="s">
        <v>73</v>
      </c>
      <c r="C25" s="137"/>
      <c r="D25" s="137"/>
      <c r="E25" s="137"/>
      <c r="F25" s="138"/>
      <c r="G25" s="76">
        <f>(G23+G24)*'Fane 15. Nøgletal'!C23</f>
        <v>1361731.4552804758</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6">
        <f>(G23+G24-G25)*(1+'Fane 15. Nøgletal'!C12)</f>
        <v>47504314.440314621</v>
      </c>
      <c r="H29" s="14" t="s">
        <v>3</v>
      </c>
      <c r="I29" s="1"/>
    </row>
    <row r="30" spans="1:9" x14ac:dyDescent="0.25">
      <c r="A30" s="1"/>
      <c r="B30" s="136" t="s">
        <v>139</v>
      </c>
      <c r="C30" s="137"/>
      <c r="D30" s="137"/>
      <c r="E30" s="137"/>
      <c r="F30" s="138"/>
      <c r="G30" s="76">
        <v>276661.99691171997</v>
      </c>
      <c r="H30" s="14" t="s">
        <v>3</v>
      </c>
      <c r="I30" s="1"/>
    </row>
    <row r="31" spans="1:9" x14ac:dyDescent="0.25">
      <c r="A31" s="1"/>
      <c r="B31" s="136" t="s">
        <v>76</v>
      </c>
      <c r="C31" s="137"/>
      <c r="D31" s="137"/>
      <c r="E31" s="137"/>
      <c r="F31" s="138"/>
      <c r="G31" s="76">
        <f>G29*'Fane 15. Nøgletal'!C23+G30*'Fane 15. Nøgletal'!C24</f>
        <v>1356730.7350200077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6">
        <f>(G29+G30-G31)*(1+'Fane 15. Nøgletal'!C14)</f>
        <v>46577445.713023618</v>
      </c>
      <c r="H35" s="14" t="s">
        <v>3</v>
      </c>
      <c r="I35" s="1"/>
    </row>
    <row r="36" spans="1:9" x14ac:dyDescent="0.25">
      <c r="A36" s="1"/>
      <c r="B36" s="136" t="s">
        <v>167</v>
      </c>
      <c r="C36" s="137"/>
      <c r="D36" s="137"/>
      <c r="E36" s="137"/>
      <c r="F36" s="138"/>
      <c r="G36" s="76">
        <v>629667.90036705707</v>
      </c>
      <c r="H36" s="14" t="s">
        <v>3</v>
      </c>
      <c r="I36" s="1"/>
    </row>
    <row r="37" spans="1:9" x14ac:dyDescent="0.25">
      <c r="A37" s="1"/>
      <c r="B37" s="136" t="s">
        <v>166</v>
      </c>
      <c r="C37" s="137"/>
      <c r="D37" s="137"/>
      <c r="E37" s="137"/>
      <c r="F37" s="138"/>
      <c r="G37" s="76">
        <f>(G35+G36)*'Fane 15. Nøgletal'!C25</f>
        <v>698665.28147818206</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222</v>
      </c>
      <c r="C40" s="132"/>
      <c r="D40" s="132"/>
      <c r="E40" s="132"/>
      <c r="F40" s="132"/>
      <c r="G40" s="139"/>
      <c r="H40" s="133"/>
      <c r="I40" s="1"/>
    </row>
    <row r="41" spans="1:9" x14ac:dyDescent="0.25">
      <c r="A41" s="1"/>
      <c r="B41" s="136" t="s">
        <v>77</v>
      </c>
      <c r="C41" s="137"/>
      <c r="D41" s="137"/>
      <c r="E41" s="137"/>
      <c r="F41" s="138"/>
      <c r="G41" s="76">
        <f>(G35+G36-G37)*(1+'Fane 15. Nøgletal'!C14)</f>
        <v>46661926.21140781</v>
      </c>
      <c r="H41" s="14" t="s">
        <v>3</v>
      </c>
      <c r="I41" s="1"/>
    </row>
    <row r="42" spans="1:9" x14ac:dyDescent="0.25">
      <c r="A42" s="1"/>
      <c r="B42" s="43" t="s">
        <v>230</v>
      </c>
      <c r="C42" s="92"/>
      <c r="D42" s="92"/>
      <c r="E42" s="92"/>
      <c r="F42" s="93"/>
      <c r="G42" s="80">
        <f>('Fane 2.1. Økonomisk ramme 2023'!C11+'Fane 2.1. Økonomisk ramme 2023'!C13+'Fane 2.1. Økonomisk ramme 2023'!C15)*(1+'Fane 15. Nøgletal'!C15)</f>
        <v>614622.38562951365</v>
      </c>
      <c r="H42" s="14" t="s">
        <v>3</v>
      </c>
      <c r="I42" s="1"/>
    </row>
    <row r="43" spans="1:9" x14ac:dyDescent="0.25">
      <c r="A43" s="1"/>
      <c r="B43" s="136" t="s">
        <v>168</v>
      </c>
      <c r="C43" s="137"/>
      <c r="D43" s="137"/>
      <c r="E43" s="137"/>
      <c r="F43" s="138"/>
      <c r="G43" s="76">
        <f>(G41)*'Fane 15. Nøgletal'!C25+G42*'Fane 15. Nøgletal'!C26</f>
        <v>690596.50792883558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243</v>
      </c>
      <c r="C52" s="132"/>
      <c r="D52" s="132"/>
      <c r="E52" s="132"/>
      <c r="F52" s="132"/>
      <c r="G52" s="139"/>
      <c r="H52" s="133"/>
      <c r="I52" s="1"/>
    </row>
    <row r="53" spans="1:9" x14ac:dyDescent="0.25">
      <c r="A53" s="1"/>
      <c r="B53" s="136" t="s">
        <v>140</v>
      </c>
      <c r="C53" s="137"/>
      <c r="D53" s="137"/>
      <c r="E53" s="137"/>
      <c r="F53" s="138"/>
      <c r="G53" s="76">
        <f>(G41+G42-G43)*(1+'Fane 15. Nøgletal'!C15)</f>
        <v>48244411.983480752</v>
      </c>
      <c r="H53" s="14" t="s">
        <v>3</v>
      </c>
      <c r="I53" s="1"/>
    </row>
    <row r="54" spans="1:9" x14ac:dyDescent="0.25">
      <c r="A54" s="1"/>
      <c r="B54" s="136" t="s">
        <v>141</v>
      </c>
      <c r="C54" s="137"/>
      <c r="D54" s="137"/>
      <c r="E54" s="137"/>
      <c r="F54" s="138"/>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6">
        <f>(G53-G54)*(1+'Fane 15. Nøgletal'!C15)</f>
        <v>49961913.050092667</v>
      </c>
      <c r="H58" s="14" t="s">
        <v>3</v>
      </c>
      <c r="I58" s="1"/>
    </row>
    <row r="59" spans="1:9" x14ac:dyDescent="0.25">
      <c r="A59" s="1"/>
      <c r="B59" s="136" t="s">
        <v>174</v>
      </c>
      <c r="C59" s="137"/>
      <c r="D59" s="137"/>
      <c r="E59" s="137"/>
      <c r="F59" s="138"/>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197</v>
      </c>
      <c r="C62" s="132"/>
      <c r="D62" s="132"/>
      <c r="E62" s="132"/>
      <c r="F62" s="132"/>
      <c r="G62" s="139"/>
      <c r="H62" s="133"/>
      <c r="I62" s="1"/>
    </row>
    <row r="63" spans="1:9" x14ac:dyDescent="0.25">
      <c r="A63" s="1"/>
      <c r="B63" s="136" t="s">
        <v>198</v>
      </c>
      <c r="C63" s="137"/>
      <c r="D63" s="137"/>
      <c r="E63" s="137"/>
      <c r="F63" s="138"/>
      <c r="G63" s="76">
        <f>(G58-G59)*(1+'Fane 15. Nøgletal'!C15)</f>
        <v>51740557.154675968</v>
      </c>
      <c r="H63" s="14" t="s">
        <v>3</v>
      </c>
      <c r="I63" s="1"/>
    </row>
    <row r="64" spans="1:9" x14ac:dyDescent="0.25">
      <c r="A64" s="1"/>
      <c r="B64" s="136" t="s">
        <v>199</v>
      </c>
      <c r="C64" s="137"/>
      <c r="D64" s="137"/>
      <c r="E64" s="137"/>
      <c r="F64" s="138"/>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DNdawwPA+zJzqYknY0dlUvfNGTIvGMQQgZ/FGSXvYgugXwSyEnoAvqOVtGiCkIiP+vWjvZ5itsQwdqtppAGg==" saltValue="7g42YCERexukgrbrGucCRQ=="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5">
        <v>3.8580026909634832E-3</v>
      </c>
      <c r="H9" s="1"/>
    </row>
    <row r="10" spans="1:8" x14ac:dyDescent="0.25">
      <c r="A10" s="1"/>
      <c r="B10" s="32"/>
      <c r="C10" s="27"/>
      <c r="D10" s="27"/>
      <c r="E10" s="27"/>
      <c r="F10" s="27"/>
      <c r="G10" s="19"/>
      <c r="H10" s="1"/>
    </row>
    <row r="11" spans="1:8" ht="29.25" customHeight="1" x14ac:dyDescent="0.25">
      <c r="A11" s="1"/>
      <c r="B11" s="148" t="s">
        <v>237</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ILpgVxOeI8AF4qoc0G+MA7yDbUERm1/x5H9mNj3kRUt/XR5xpcDtu51zJX3rJ0/QSAa6va0g7nSQeI6BTFWFGQ==" saltValue="aXoaUXH9F0CxjTTc7cbPv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2022-12-22T12:19:20Z</dcterms:modified>
</cp:coreProperties>
</file>