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Skive Vand AS (V167)\ØR2025\"/>
    </mc:Choice>
  </mc:AlternateContent>
  <xr:revisionPtr revIDLastSave="0" documentId="13_ncr:1_{3EFA4648-C30B-4198-A276-EE4B3FF5EEA3}"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17" i="40" l="1"/>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<sst xmlns="http://schemas.openxmlformats.org/spreadsheetml/2006/main" count="448" uniqueCount="205">
  <si>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</si>
  <si>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</si>
  <si>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</si>
  <si>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</si>
  <si>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</si>
  <si>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</si>
  <si>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</si>
  <si>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</si>
  <si>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</si>
  <si>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</si>
  <si>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</si>
  <si>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</si>
  <si>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</si>
  <si>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</si>
  <si>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</si>
  <si>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</si>
  <si>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</si>
  <si>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</si>
  <si>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</si>
  <si>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</si>
  <si>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</si>
  <si>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</si>
  <si>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</si>
  <si>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</si>
  <si>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</si>
  <si>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</si>
  <si>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</si>
  <si>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</si>
  <si>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</si>
  <si>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</si>
  <si>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</si>
  <si>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</si>
  <si>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</si>
  <si>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</si>
  <si>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</si>
  <si>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</si>
  <si>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</si>
  <si>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</si>
  <si>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</si>
  <si>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</si>
  <si>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</si>
  <si>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</si>
  <si>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</si>
  <si>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</si>
  <si>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</si>
  <si>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</si>
  <si>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</si>
  <si>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</si>
  <si>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</si>
  <si>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</si>
  <si>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</si>
  <si>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</si>
  <si>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</si>
  <si>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</si>
  <si>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</si>
  <si>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</si>
  <si>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</si>
  <si>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</si>
  <si>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</si>
  <si>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</si>
  <si>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</si>
  <si>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</si>
  <si>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</si>
  <si>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</si>
  <si>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</si>
  <si>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</si>
  <si>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</si>
  <si>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</si>
  <si>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</si>
  <si>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</si>
  <si>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</si>
  <si>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</si>
  <si>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</si>
  <si>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</si>
  <si>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</si>
  <si>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</si>
  <si>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</si>
  <si>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</si>
  <si>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</si>
  <si>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</si>
  <si>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</si>
  <si>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</si>
  <si>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</si>
  <si>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</si>
  <si>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</si>
  <si>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</si>
  <si>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</si>
  <si>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</si>
  <si>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</si>
  <si>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</si>
  <si>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</si>
  <si>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</si>
  <si>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</si>
  <si>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</si>
  <si>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</si>
  <si>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</si>
  <si>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</si>
  <si>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</si>
  <si>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</si>
  <si>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</si>
  <si>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</si>
  <si>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</si>
  <si>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</si>
  <si>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</si>
  <si>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</si>
  <si>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</si>
  <si>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</si>
  <si>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</si>
  <si>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</si>
  <si>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</si>
  <si>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</si>
  <si>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</si>
  <si>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</si>
  <si>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</si>
  <si>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</si>
  <si>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</si>
  <si>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</si>
  <si>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</si>
  <si>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</si>
  <si>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</si>
  <si>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</si>
  <si>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</si>
  <si>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</si>
  <si>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</si>
  <si>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</si>
  <si>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</si>
  <si>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</si>
  <si>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</si>
  <si>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</si>
  <si>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</si>
  <si>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</si>
  <si>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</si>
  <si>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</si>
  <si>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</si>
  <si>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</si>
  <si>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</si>
  <si>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</si>
  <si>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</si>
  <si>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</si>
  <si>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</si>
  <si>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</si>
  <si>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</si>
  <si>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</si>
  <si>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</si>
  <si>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</si>
  <si>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</si>
  <si>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</si>
  <si>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</si>
  <si>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</si>
  <si>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</si>
  <si>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</si>
  <si>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</si>
  <si>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</si>
  <si>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</si>
  <si>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</si>
  <si>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</si>
  <si>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</si>
  <si>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</si>
  <si>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</si>
  <si>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</si>
  <si>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</si>
  <si>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</si>
  <si>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</si>
  <si>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</si>
  <si>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</si>
  <si>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</si>
  <si>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</si>
  <si>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</si>
  <si>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</si>
  <si>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</si>
  <si>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</si>
  <si>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</si>
  <si>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</si>
  <si>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</si>
  <si>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</si>
  <si>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</si>
  <si>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</si>
  <si>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</si>
  <si>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</si>
  <si>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</si>
  <si>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</si>
  <si>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</si>
  <si>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</si>
  <si>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</si>
  <si>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</si>
  <si>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</si>
  <si>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</si>
  <si>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</si>
  <si>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</si>
  <si>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</si>
  <si>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</si>
  <si>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190204 Nye stikledninger udbygning</t>
  </si>
  <si>
    <t>196043 Skive-Grønning udbygning</t>
  </si>
  <si>
    <t>Ingen engangstillæg</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</si>
  <si>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</si>
  <si>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</si>
  <si>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</si>
  <si>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</si>
  <si>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</si>
  <si>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</si>
  <si>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</si>
  <si>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Erstatninger</t>
  </si>
  <si>
    <t>Fradrag i den økonomiske ramme for 2029</t>
  </si>
  <si>
    <t>Fradrag i den økonomiske ramme for 2030</t>
  </si>
  <si>
    <t>Frivillige aftaler om dyrkningspraksis eller andre restriktioner i arealanvendelse. 1.440.650 kr./20 = 72.033 kr. i ØR25 til ØR44.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</si>
</sst>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88" t="s">
        <v>4</v>
      </c>
      <c r="D6" s="88"/>
      <c r="E6" s="88"/>
      <c r="F6" s="88"/>
      <c r="G6" s="1"/>
    </row>
    <row r="7" spans="1:7" ht="15" customHeight="1" x14ac:dyDescent="0.3">
      <c r="A7" s="1"/>
      <c r="B7" s="3"/>
      <c r="C7" s="88"/>
      <c r="D7" s="88"/>
      <c r="E7" s="88"/>
      <c r="F7" s="88"/>
      <c r="G7" s="1"/>
    </row>
    <row r="8" spans="1:7" ht="15.6" x14ac:dyDescent="0.3">
      <c r="A8" s="1"/>
      <c r="B8" s="4"/>
      <c r="C8" s="90" t="s">
        <v>196</v>
      </c>
      <c r="D8" s="90"/>
      <c r="E8" s="90"/>
      <c r="F8" s="90"/>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9" t="s">
        <v>5</v>
      </c>
      <c r="D11" s="89"/>
      <c r="E11" s="89"/>
      <c r="F11" s="89"/>
      <c r="G11" s="1"/>
    </row>
    <row r="12" spans="1:7" x14ac:dyDescent="0.3">
      <c r="A12" s="1"/>
      <c r="B12" s="1"/>
      <c r="C12" s="1"/>
      <c r="D12" s="1"/>
      <c r="E12" s="1"/>
      <c r="F12" s="1"/>
      <c r="G12" s="1"/>
    </row>
    <row r="13" spans="1:7" x14ac:dyDescent="0.3">
      <c r="A13" s="1"/>
      <c r="B13" s="6" t="s">
        <v>6</v>
      </c>
      <c r="C13" s="85" t="s">
        <v>121</v>
      </c>
      <c r="D13" s="86"/>
      <c r="E13" s="86"/>
      <c r="F13" s="87"/>
      <c r="G13" s="1"/>
    </row>
    <row r="14" spans="1:7" x14ac:dyDescent="0.3">
      <c r="A14" s="1"/>
      <c r="B14" s="6" t="s">
        <v>14</v>
      </c>
      <c r="C14" s="85" t="s">
        <v>156</v>
      </c>
      <c r="D14" s="86"/>
      <c r="E14" s="86"/>
      <c r="F14" s="87"/>
      <c r="G14" s="1"/>
    </row>
    <row r="15" spans="1:7" x14ac:dyDescent="0.3">
      <c r="A15" s="1"/>
      <c r="B15" s="6" t="s">
        <v>29</v>
      </c>
      <c r="C15" s="85" t="s">
        <v>104</v>
      </c>
      <c r="D15" s="86"/>
      <c r="E15" s="86"/>
      <c r="F15" s="87"/>
      <c r="G15" s="1"/>
    </row>
    <row r="16" spans="1:7" x14ac:dyDescent="0.3">
      <c r="A16" s="1"/>
      <c r="B16" s="6" t="s">
        <v>30</v>
      </c>
      <c r="C16" s="85" t="s">
        <v>122</v>
      </c>
      <c r="D16" s="86"/>
      <c r="E16" s="86"/>
      <c r="F16" s="87"/>
      <c r="G16" s="1"/>
    </row>
    <row r="17" spans="1:7" x14ac:dyDescent="0.3">
      <c r="A17" s="1"/>
      <c r="B17" s="6" t="s">
        <v>57</v>
      </c>
      <c r="C17" s="85" t="s">
        <v>123</v>
      </c>
      <c r="D17" s="86"/>
      <c r="E17" s="86"/>
      <c r="F17" s="87"/>
      <c r="G17" s="1"/>
    </row>
    <row r="18" spans="1:7" x14ac:dyDescent="0.3">
      <c r="A18" s="1"/>
      <c r="B18" s="6" t="s">
        <v>49</v>
      </c>
      <c r="C18" s="91" t="s">
        <v>42</v>
      </c>
      <c r="D18" s="92"/>
      <c r="E18" s="92"/>
      <c r="F18" s="93"/>
      <c r="G18" s="1"/>
    </row>
    <row r="19" spans="1:7" x14ac:dyDescent="0.3">
      <c r="A19" s="1"/>
      <c r="B19" s="6" t="s">
        <v>50</v>
      </c>
      <c r="C19" s="91" t="s">
        <v>43</v>
      </c>
      <c r="D19" s="92"/>
      <c r="E19" s="92"/>
      <c r="F19" s="93"/>
      <c r="G19" s="1"/>
    </row>
    <row r="20" spans="1:7" x14ac:dyDescent="0.3">
      <c r="A20" s="1"/>
      <c r="B20" s="6" t="s">
        <v>7</v>
      </c>
      <c r="C20" s="91" t="s">
        <v>9</v>
      </c>
      <c r="D20" s="92"/>
      <c r="E20" s="92"/>
      <c r="F20" s="93"/>
      <c r="G20" s="1"/>
    </row>
    <row r="21" spans="1:7" x14ac:dyDescent="0.3">
      <c r="A21" s="1"/>
      <c r="B21" s="6" t="s">
        <v>51</v>
      </c>
      <c r="C21" s="82" t="s">
        <v>11</v>
      </c>
      <c r="D21" s="83"/>
      <c r="E21" s="83"/>
      <c r="F21" s="84"/>
      <c r="G21" s="1"/>
    </row>
    <row r="22" spans="1:7" x14ac:dyDescent="0.3">
      <c r="A22" s="1"/>
      <c r="B22" s="6" t="s">
        <v>37</v>
      </c>
      <c r="C22" s="76" t="s">
        <v>124</v>
      </c>
      <c r="D22" s="77"/>
      <c r="E22" s="77"/>
      <c r="F22" s="78"/>
      <c r="G22" s="1"/>
    </row>
    <row r="23" spans="1:7" x14ac:dyDescent="0.3">
      <c r="A23" s="1"/>
      <c r="B23" s="6" t="s">
        <v>8</v>
      </c>
      <c r="C23" s="76" t="s">
        <v>89</v>
      </c>
      <c r="D23" s="77"/>
      <c r="E23" s="77"/>
      <c r="F23" s="78"/>
      <c r="G23" s="1"/>
    </row>
    <row r="24" spans="1:7" x14ac:dyDescent="0.3">
      <c r="A24" s="1"/>
      <c r="B24" s="6" t="s">
        <v>85</v>
      </c>
      <c r="C24" s="76" t="s">
        <v>78</v>
      </c>
      <c r="D24" s="77"/>
      <c r="E24" s="77"/>
      <c r="F24" s="78"/>
      <c r="G24" s="1"/>
    </row>
    <row r="25" spans="1:7" x14ac:dyDescent="0.3">
      <c r="A25" s="1"/>
      <c r="B25" s="6" t="s">
        <v>86</v>
      </c>
      <c r="C25" s="76" t="s">
        <v>38</v>
      </c>
      <c r="D25" s="77"/>
      <c r="E25" s="77"/>
      <c r="F25" s="78"/>
      <c r="G25" s="1"/>
    </row>
    <row r="26" spans="1:7" x14ac:dyDescent="0.3">
      <c r="A26" s="1"/>
      <c r="B26" s="6" t="s">
        <v>87</v>
      </c>
      <c r="C26" s="76" t="s">
        <v>39</v>
      </c>
      <c r="D26" s="77"/>
      <c r="E26" s="77"/>
      <c r="F26" s="78"/>
      <c r="G26" s="1"/>
    </row>
    <row r="27" spans="1:7" x14ac:dyDescent="0.3">
      <c r="A27" s="1"/>
      <c r="B27" s="6" t="s">
        <v>52</v>
      </c>
      <c r="C27" s="76" t="s">
        <v>58</v>
      </c>
      <c r="D27" s="77"/>
      <c r="E27" s="77"/>
      <c r="F27" s="78"/>
      <c r="G27" s="1"/>
    </row>
    <row r="28" spans="1:7" x14ac:dyDescent="0.3">
      <c r="A28" s="1"/>
      <c r="B28" s="6" t="s">
        <v>46</v>
      </c>
      <c r="C28" s="76" t="s">
        <v>31</v>
      </c>
      <c r="D28" s="77"/>
      <c r="E28" s="77"/>
      <c r="F28" s="78"/>
      <c r="G28" s="1"/>
    </row>
    <row r="29" spans="1:7" x14ac:dyDescent="0.3">
      <c r="A29" s="1"/>
      <c r="B29" s="6" t="s">
        <v>88</v>
      </c>
      <c r="C29" s="79" t="s">
        <v>47</v>
      </c>
      <c r="D29" s="80"/>
      <c r="E29" s="80"/>
      <c r="F29" s="8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0ff2nuP3hDaIbVTGPq6fbHy2RW2HAiIB/ZJS/ITW4ecxq+YkacK4QKzgUXQfaQ1aovuLBev2Srh1e49k/IgZlQ==" saltValue="Nm+5fr0tW9kZ3KF761g2Cg=="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139</v>
      </c>
      <c r="C8" s="99"/>
      <c r="D8" s="100"/>
      <c r="E8" s="1"/>
    </row>
    <row r="9" spans="1:5" ht="15" customHeight="1" x14ac:dyDescent="0.3">
      <c r="A9" s="1"/>
      <c r="B9" s="51" t="s">
        <v>27</v>
      </c>
      <c r="C9" s="45" t="s">
        <v>142</v>
      </c>
      <c r="D9" s="11"/>
      <c r="E9" s="1"/>
    </row>
    <row r="10" spans="1:5" ht="15" customHeight="1" x14ac:dyDescent="0.3">
      <c r="A10" s="1"/>
      <c r="B10" s="64" t="s">
        <v>197</v>
      </c>
      <c r="C10" s="65">
        <v>15303392</v>
      </c>
      <c r="D10" s="14" t="s">
        <v>3</v>
      </c>
      <c r="E10" s="1"/>
    </row>
    <row r="11" spans="1:5" x14ac:dyDescent="0.3">
      <c r="A11" s="1"/>
      <c r="B11" s="64" t="s">
        <v>198</v>
      </c>
      <c r="C11" s="65">
        <v>73402</v>
      </c>
      <c r="D11" s="14" t="s">
        <v>3</v>
      </c>
      <c r="E11" s="1"/>
    </row>
    <row r="12" spans="1:5" x14ac:dyDescent="0.3">
      <c r="A12" s="1"/>
      <c r="B12" s="64" t="s">
        <v>199</v>
      </c>
      <c r="C12" s="65">
        <v>27584</v>
      </c>
      <c r="D12" s="14" t="s">
        <v>3</v>
      </c>
      <c r="E12" s="1"/>
    </row>
    <row r="13" spans="1:5" x14ac:dyDescent="0.3">
      <c r="A13" s="1"/>
      <c r="B13" s="64" t="s">
        <v>200</v>
      </c>
      <c r="C13" s="65">
        <v>853</v>
      </c>
      <c r="D13" s="14" t="s">
        <v>3</v>
      </c>
      <c r="E13" s="1"/>
    </row>
    <row r="14" spans="1:5" x14ac:dyDescent="0.3">
      <c r="A14" s="1"/>
      <c r="B14" s="64" t="s">
        <v>201</v>
      </c>
      <c r="C14" s="65">
        <v>1425</v>
      </c>
      <c r="D14" s="14" t="s">
        <v>3</v>
      </c>
      <c r="E14" s="1"/>
    </row>
    <row r="15" spans="1:5" ht="26.4" x14ac:dyDescent="0.3">
      <c r="A15" s="1"/>
      <c r="B15" s="64" t="s">
        <v>204</v>
      </c>
      <c r="C15" s="7">
        <v>72033</v>
      </c>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140</v>
      </c>
      <c r="C19" s="12">
        <f>SUM(C10:C18)</f>
        <v>15478689</v>
      </c>
      <c r="D19" s="13" t="s">
        <v>3</v>
      </c>
      <c r="E19" s="1"/>
    </row>
    <row r="20" spans="1:5" x14ac:dyDescent="0.3">
      <c r="A20" s="1"/>
      <c r="B20" s="52" t="s">
        <v>141</v>
      </c>
      <c r="C20" s="12">
        <f>C19*(1+'Fane 13. Nøgletal'!C11)^2</f>
        <v>17599202.679850411</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mpxcKzu+SH9+0I4/hplw9rCgwXhrWy0NX8rTcJ9h8PnGcqNxCaL3jE1OKUH2AjsbwENlboSrJFAGnb8vGssw+A==" saltValue="MAOPVfQfTogoRkHtAy9Tt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169</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172</v>
      </c>
      <c r="C8" s="99"/>
      <c r="D8" s="100"/>
      <c r="E8" s="1"/>
    </row>
    <row r="9" spans="1:5" x14ac:dyDescent="0.3">
      <c r="A9" s="1"/>
      <c r="B9" s="56" t="s">
        <v>173</v>
      </c>
      <c r="C9" s="9">
        <v>1964059.485721156</v>
      </c>
      <c r="D9" s="39" t="s">
        <v>3</v>
      </c>
      <c r="E9" s="1"/>
    </row>
    <row r="10" spans="1:5" x14ac:dyDescent="0.3">
      <c r="A10" s="1"/>
      <c r="B10" s="56" t="s">
        <v>171</v>
      </c>
      <c r="C10" s="9">
        <v>-1788233.9576176256</v>
      </c>
      <c r="D10" s="14" t="s">
        <v>3</v>
      </c>
      <c r="E10" s="1"/>
    </row>
    <row r="11" spans="1:5" x14ac:dyDescent="0.3">
      <c r="A11" s="1"/>
      <c r="B11" s="52"/>
      <c r="C11" s="53"/>
      <c r="D11" s="19"/>
      <c r="E11" s="1"/>
    </row>
    <row r="12" spans="1:5" ht="53.85" customHeight="1" x14ac:dyDescent="0.3">
      <c r="A12" s="1"/>
      <c r="B12" s="107" t="s">
        <v>170</v>
      </c>
      <c r="C12" s="108"/>
      <c r="D12" s="109"/>
      <c r="E12" s="1"/>
    </row>
    <row r="13" spans="1:5" x14ac:dyDescent="0.3">
      <c r="A13" s="1"/>
      <c r="B13" s="1"/>
      <c r="C13" s="1"/>
      <c r="D13" s="1"/>
      <c r="E13" s="1"/>
    </row>
    <row r="14" spans="1:5" x14ac:dyDescent="0.3">
      <c r="A14" s="1"/>
      <c r="B14" s="68" t="s">
        <v>174</v>
      </c>
      <c r="C14" s="69"/>
      <c r="D14" s="70"/>
      <c r="E14" s="1"/>
    </row>
    <row r="15" spans="1:5" x14ac:dyDescent="0.3">
      <c r="A15" s="1"/>
      <c r="B15" s="56" t="s">
        <v>175</v>
      </c>
      <c r="C15" s="9">
        <f>IF(C10&lt;0,C10,0)</f>
        <v>-1788233.9576176256</v>
      </c>
      <c r="D15" s="14" t="s">
        <v>3</v>
      </c>
      <c r="E15" s="1"/>
    </row>
    <row r="16" spans="1:5" x14ac:dyDescent="0.3">
      <c r="A16" s="1"/>
      <c r="B16" s="56" t="s">
        <v>182</v>
      </c>
      <c r="C16" s="9">
        <f>IF(SUM(C9)&gt;0,SUM(C9),0)</f>
        <v>1964059.485721156</v>
      </c>
      <c r="D16" s="14" t="s">
        <v>3</v>
      </c>
      <c r="E16" s="1"/>
    </row>
    <row r="17" spans="1:5" ht="27" x14ac:dyDescent="0.3">
      <c r="A17" s="1"/>
      <c r="B17" s="71" t="s">
        <v>176</v>
      </c>
      <c r="C17" s="62">
        <f>IF(SUM(C15:C16)&gt;0,0,SUM(C15:C16))</f>
        <v>0</v>
      </c>
      <c r="D17" s="17" t="s">
        <v>3</v>
      </c>
      <c r="E17" s="1"/>
    </row>
    <row r="18" spans="1:5" x14ac:dyDescent="0.3">
      <c r="A18" s="1"/>
      <c r="B18" s="52"/>
      <c r="C18" s="53"/>
      <c r="D18" s="19"/>
      <c r="E18" s="1"/>
    </row>
    <row r="19" spans="1:5" x14ac:dyDescent="0.3">
      <c r="A19" s="1"/>
      <c r="B19" s="1"/>
      <c r="C19" s="1"/>
      <c r="D19" s="1"/>
      <c r="E19" s="1"/>
    </row>
    <row r="20" spans="1:5" x14ac:dyDescent="0.3">
      <c r="A20" s="1"/>
      <c r="B20" s="68" t="s">
        <v>177</v>
      </c>
      <c r="C20" s="69"/>
      <c r="D20" s="70"/>
      <c r="E20" s="1"/>
    </row>
    <row r="21" spans="1:5" x14ac:dyDescent="0.3">
      <c r="A21" s="1"/>
      <c r="B21" s="56" t="s">
        <v>178</v>
      </c>
      <c r="C21" s="9">
        <v>44155168.643102236</v>
      </c>
      <c r="D21" s="14" t="s">
        <v>3</v>
      </c>
      <c r="E21" s="1"/>
    </row>
    <row r="22" spans="1:5" x14ac:dyDescent="0.3">
      <c r="A22" s="1"/>
      <c r="B22" s="56" t="s">
        <v>179</v>
      </c>
      <c r="C22" s="9">
        <v>41998229</v>
      </c>
      <c r="D22" s="14" t="s">
        <v>3</v>
      </c>
      <c r="E22" s="1"/>
    </row>
    <row r="23" spans="1:5" x14ac:dyDescent="0.3">
      <c r="A23" s="1"/>
      <c r="B23" s="56" t="s">
        <v>28</v>
      </c>
      <c r="C23" s="9">
        <v>-145000</v>
      </c>
      <c r="D23" s="14" t="s">
        <v>3</v>
      </c>
      <c r="E23" s="1"/>
    </row>
    <row r="24" spans="1:5" x14ac:dyDescent="0.3">
      <c r="A24" s="1"/>
      <c r="B24" s="73" t="s">
        <v>180</v>
      </c>
      <c r="C24" s="46">
        <f>C21-C22-C23</f>
        <v>2301939.6431022361</v>
      </c>
      <c r="D24" s="17" t="s">
        <v>3</v>
      </c>
      <c r="E24" s="1"/>
    </row>
    <row r="25" spans="1:5" x14ac:dyDescent="0.3">
      <c r="A25" s="1"/>
      <c r="B25" s="52"/>
      <c r="C25" s="53"/>
      <c r="D25" s="19"/>
      <c r="E25" s="1"/>
    </row>
    <row r="26" spans="1:5" x14ac:dyDescent="0.3">
      <c r="A26" s="1"/>
      <c r="B26" s="1"/>
      <c r="C26" s="1"/>
      <c r="D26" s="1"/>
      <c r="E26" s="1"/>
    </row>
    <row r="27" spans="1:5" x14ac:dyDescent="0.3">
      <c r="A27" s="1"/>
      <c r="B27" s="98" t="s">
        <v>181</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3">
      <c r="A29" s="1"/>
      <c r="B29" s="57" t="s">
        <v>48</v>
      </c>
      <c r="C29" s="9">
        <v>2</v>
      </c>
      <c r="D29" s="14" t="s">
        <v>18</v>
      </c>
      <c r="E29" s="1"/>
    </row>
    <row r="30" spans="1:5" x14ac:dyDescent="0.3">
      <c r="A30" s="1"/>
      <c r="B30" s="58" t="s">
        <v>64</v>
      </c>
      <c r="C30" s="10">
        <f>C28/C29</f>
        <v>0</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tHuKs9eRrRbDIsVpEC4IquiVE4IukWOnfbCIe/F9yTXj2s4nv3PIcwAdsVCiRL1c9qc9sKZZ4pZ27mtkvRsabQ==" saltValue="Z2Ebtqm+W8fe5J0cfql5j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2"/>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120</v>
      </c>
      <c r="C9" s="114"/>
      <c r="D9" s="115"/>
      <c r="E9" s="1"/>
    </row>
    <row r="10" spans="1:5" x14ac:dyDescent="0.3">
      <c r="A10" s="1"/>
      <c r="B10" s="59" t="s">
        <v>98</v>
      </c>
      <c r="C10" s="9">
        <v>0</v>
      </c>
      <c r="D10" s="9" t="s">
        <v>3</v>
      </c>
      <c r="E10" s="1"/>
    </row>
    <row r="11" spans="1:5" x14ac:dyDescent="0.3">
      <c r="A11" s="1"/>
      <c r="B11" s="59" t="s">
        <v>99</v>
      </c>
      <c r="C11" s="9">
        <v>-173986</v>
      </c>
      <c r="D11" s="9" t="s">
        <v>3</v>
      </c>
      <c r="E11" s="1"/>
    </row>
    <row r="12" spans="1:5" x14ac:dyDescent="0.3">
      <c r="A12" s="1"/>
      <c r="B12" s="59" t="s">
        <v>100</v>
      </c>
      <c r="C12" s="9">
        <v>-173986</v>
      </c>
      <c r="D12" s="9" t="s">
        <v>3</v>
      </c>
      <c r="E12" s="1"/>
    </row>
    <row r="13" spans="1:5" x14ac:dyDescent="0.3">
      <c r="A13" s="1"/>
      <c r="B13" s="59" t="s">
        <v>101</v>
      </c>
      <c r="C13" s="9">
        <v>-173986</v>
      </c>
      <c r="D13" s="9" t="s">
        <v>3</v>
      </c>
      <c r="E13" s="1"/>
    </row>
    <row r="14" spans="1:5" x14ac:dyDescent="0.3">
      <c r="A14" s="1"/>
      <c r="B14" s="59" t="s">
        <v>102</v>
      </c>
      <c r="C14" s="9">
        <v>-173986</v>
      </c>
      <c r="D14" s="9" t="s">
        <v>3</v>
      </c>
      <c r="E14" s="1"/>
    </row>
    <row r="15" spans="1:5" x14ac:dyDescent="0.3">
      <c r="A15" s="1"/>
      <c r="B15" s="59" t="s">
        <v>202</v>
      </c>
      <c r="C15" s="9">
        <v>-173986</v>
      </c>
      <c r="D15" s="9" t="s">
        <v>3</v>
      </c>
      <c r="E15" s="1"/>
    </row>
    <row r="16" spans="1:5" x14ac:dyDescent="0.3">
      <c r="A16" s="1"/>
      <c r="B16" s="59" t="s">
        <v>203</v>
      </c>
      <c r="C16" s="9">
        <v>-173986</v>
      </c>
      <c r="D16" s="9" t="s">
        <v>3</v>
      </c>
      <c r="E16" s="1"/>
    </row>
    <row r="17" spans="1:5" x14ac:dyDescent="0.3">
      <c r="A17" s="1"/>
      <c r="B17" s="68" t="s">
        <v>103</v>
      </c>
      <c r="C17" s="12">
        <f>SUM(C10:C16)</f>
        <v>-1043916</v>
      </c>
      <c r="D17" s="13" t="s">
        <v>3</v>
      </c>
      <c r="E17" s="1"/>
    </row>
    <row r="18" spans="1:5" x14ac:dyDescent="0.3">
      <c r="A18" s="1"/>
      <c r="B18" s="1"/>
      <c r="C18" s="1"/>
      <c r="D18" s="1"/>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row r="51" spans="1:5" x14ac:dyDescent="0.3"/>
    <row r="52" spans="1:5" x14ac:dyDescent="0.3"/>
  </sheetData>
  <sheetProtection algorithmName="SHA-512" hashValue="VhsNpeiFGvfmZtlafjws68BVE+L/Npkjl1nYStoLOmwqYJYpp0k6gOYXjJB12951pm87XkgvLuPCgZ/EKy+x5A==" saltValue="cAERSHibAZh1RxXhlN8Pa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189</v>
      </c>
      <c r="C10" s="48">
        <v>0</v>
      </c>
      <c r="D10" s="9">
        <v>0</v>
      </c>
      <c r="E10" s="14" t="s">
        <v>3</v>
      </c>
      <c r="F10" s="61">
        <f>IFERROR(D10/C10,0)</f>
        <v>0</v>
      </c>
      <c r="G10" s="14" t="s">
        <v>3</v>
      </c>
      <c r="H10" s="9">
        <v>0</v>
      </c>
      <c r="I10" s="14" t="s">
        <v>3</v>
      </c>
      <c r="J10" s="9">
        <v>0</v>
      </c>
      <c r="K10" s="14" t="s">
        <v>3</v>
      </c>
      <c r="L10" s="1"/>
    </row>
    <row r="11" spans="1:12" x14ac:dyDescent="0.3">
      <c r="A11" s="1"/>
      <c r="B11" s="52" t="s">
        <v>143</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g9rnmala9N1DPSzoo8FVigrIlpzLuTmF6yo0oQlOdNV0ZrV21Zw1NadR83UoGB0pxMAcGj207xx8EpVHqpFPw==" saltValue="ZM1CADwvCqi8qMMXramG2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191</v>
      </c>
      <c r="C11" s="21">
        <v>6337</v>
      </c>
      <c r="D11" s="14" t="s">
        <v>3</v>
      </c>
      <c r="E11" s="9">
        <v>12487</v>
      </c>
      <c r="F11" s="14" t="s">
        <v>3</v>
      </c>
      <c r="G11" s="1"/>
    </row>
    <row r="12" spans="1:7" x14ac:dyDescent="0.3">
      <c r="A12" s="1"/>
      <c r="B12" s="26" t="s">
        <v>192</v>
      </c>
      <c r="C12" s="21">
        <v>10687</v>
      </c>
      <c r="D12" s="14" t="s">
        <v>3</v>
      </c>
      <c r="E12" s="9">
        <v>60908</v>
      </c>
      <c r="F12" s="14" t="s">
        <v>3</v>
      </c>
      <c r="G12" s="1"/>
    </row>
    <row r="13" spans="1:7" x14ac:dyDescent="0.3">
      <c r="A13" s="1"/>
      <c r="B13" s="26"/>
      <c r="C13" s="21"/>
      <c r="D13" s="14" t="s">
        <v>3</v>
      </c>
      <c r="E13" s="9"/>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109</v>
      </c>
      <c r="C17" s="12">
        <f>SUM(C10:C16)</f>
        <v>17024</v>
      </c>
      <c r="D17" s="13" t="s">
        <v>3</v>
      </c>
      <c r="E17" s="12">
        <f>SUM(E10:E16)</f>
        <v>73395</v>
      </c>
      <c r="F17" s="13" t="s">
        <v>3</v>
      </c>
      <c r="G17" s="1"/>
    </row>
    <row r="18" spans="1:7" x14ac:dyDescent="0.3">
      <c r="A18" s="1"/>
      <c r="B18" s="52" t="s">
        <v>144</v>
      </c>
      <c r="C18" s="12">
        <f>C17*(1+'Fane 13. Nøgletal'!C11)</f>
        <v>18152.691200000001</v>
      </c>
      <c r="D18" s="13" t="s">
        <v>3</v>
      </c>
      <c r="E18" s="12">
        <f>E17*(1+'Fane 13. Nøgletal'!C11)</f>
        <v>78261.088499999998</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hh0kHhHjfR9DJPZ9K23IUpAramsJCowTQMRIBs4vmWmCt9Ct1lSQzfw1WY56Lj4DEmKItlgaO4n1aP33bH6BBQ==" saltValue="SR2KQExeNZiWD20nT5UmT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147</v>
      </c>
      <c r="C8" s="99"/>
      <c r="D8" s="99"/>
      <c r="E8" s="99"/>
      <c r="F8" s="100"/>
      <c r="G8" s="1"/>
    </row>
    <row r="9" spans="1:7" x14ac:dyDescent="0.3">
      <c r="A9" s="1"/>
      <c r="B9" s="71" t="s">
        <v>15</v>
      </c>
      <c r="C9" s="73" t="s">
        <v>10</v>
      </c>
      <c r="D9" s="74"/>
      <c r="E9" s="73" t="s">
        <v>26</v>
      </c>
      <c r="F9" s="27"/>
      <c r="G9" s="1"/>
    </row>
    <row r="10" spans="1:7" x14ac:dyDescent="0.3">
      <c r="A10" s="1"/>
      <c r="B10" s="23" t="s">
        <v>193</v>
      </c>
      <c r="C10" s="21"/>
      <c r="D10" s="14" t="s">
        <v>3</v>
      </c>
      <c r="E10" s="9"/>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145</v>
      </c>
      <c r="C13" s="12">
        <f>SUM(C10:C12)</f>
        <v>0</v>
      </c>
      <c r="D13" s="13" t="s">
        <v>3</v>
      </c>
      <c r="E13" s="12">
        <f>SUM(E10:E12)</f>
        <v>0</v>
      </c>
      <c r="F13" s="13" t="s">
        <v>3</v>
      </c>
      <c r="G13" s="1"/>
    </row>
    <row r="14" spans="1:7" x14ac:dyDescent="0.3">
      <c r="A14" s="1"/>
      <c r="B14" s="52" t="s">
        <v>146</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sakkmrWXa948lv7jUgzyXuuk6oEX/IvMheCIuL8VNd/ZwwbQhFrZ6I35y1pcKigdq7HmP7uG5gPTYANSqRU45g==" saltValue="QdJ25Lfs9tHK+H1aOGDb7w=="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187</v>
      </c>
      <c r="C10" s="9">
        <v>0</v>
      </c>
      <c r="D10" s="14" t="s">
        <v>3</v>
      </c>
      <c r="E10" s="9">
        <v>0</v>
      </c>
      <c r="F10" s="14" t="s">
        <v>3</v>
      </c>
      <c r="G10" s="1"/>
    </row>
    <row r="11" spans="1:7" ht="28.5" customHeight="1" x14ac:dyDescent="0.3">
      <c r="A11" s="1"/>
      <c r="B11" s="20" t="s">
        <v>112</v>
      </c>
      <c r="C11" s="12">
        <f>SUM(C10:C10)</f>
        <v>0</v>
      </c>
      <c r="D11" s="13" t="s">
        <v>3</v>
      </c>
      <c r="E11" s="12">
        <f>SUM(E10:E10)</f>
        <v>0</v>
      </c>
      <c r="F11" s="13" t="s">
        <v>3</v>
      </c>
      <c r="G11" s="1"/>
    </row>
    <row r="12" spans="1:7" ht="27" customHeight="1" x14ac:dyDescent="0.3">
      <c r="A12" s="1"/>
      <c r="B12" s="20" t="s">
        <v>148</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QAC7mv5eaV6CNUzjrmt4mUwGYeSAnN6OIct/hlQYhLsOL6uAxHe79df791fVP6Iqlfk0Q5GE5J8gS6Cu5zCX2Q==" saltValue="vAzLDlZRw6Tgr383esqDH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149</v>
      </c>
      <c r="C8" s="99"/>
      <c r="D8" s="99"/>
      <c r="E8" s="99"/>
      <c r="F8" s="100"/>
      <c r="G8" s="1"/>
    </row>
    <row r="9" spans="1:7" x14ac:dyDescent="0.3">
      <c r="A9" s="1"/>
      <c r="B9" s="54" t="s">
        <v>16</v>
      </c>
      <c r="C9" s="51" t="s">
        <v>10</v>
      </c>
      <c r="D9" s="27"/>
      <c r="E9" s="51" t="s">
        <v>26</v>
      </c>
      <c r="F9" s="27"/>
      <c r="G9" s="1"/>
    </row>
    <row r="10" spans="1:7" x14ac:dyDescent="0.3">
      <c r="A10" s="1"/>
      <c r="B10" s="60" t="s">
        <v>188</v>
      </c>
      <c r="C10" s="9">
        <v>0</v>
      </c>
      <c r="D10" s="14" t="s">
        <v>3</v>
      </c>
      <c r="E10" s="9">
        <v>0</v>
      </c>
      <c r="F10" s="14" t="s">
        <v>3</v>
      </c>
      <c r="G10" s="1"/>
    </row>
    <row r="11" spans="1:7" x14ac:dyDescent="0.3">
      <c r="A11" s="1"/>
      <c r="B11" s="52" t="s">
        <v>119</v>
      </c>
      <c r="C11" s="12">
        <f>SUM(C10:C10)</f>
        <v>0</v>
      </c>
      <c r="D11" s="13" t="s">
        <v>3</v>
      </c>
      <c r="E11" s="12">
        <f>SUM(E10:E10)</f>
        <v>0</v>
      </c>
      <c r="F11" s="13" t="s">
        <v>3</v>
      </c>
      <c r="G11" s="1"/>
    </row>
    <row r="12" spans="1:7" x14ac:dyDescent="0.3">
      <c r="A12" s="1"/>
      <c r="B12" s="52" t="s">
        <v>186</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GtTBJgUOG0z4IfxfPML6Tzkw1WkiawixMFc9wtdmVteiJypb7iIEaPa0yJxE5T43ub4Mm0NTI1xmqytE7kDRgg==" saltValue="15L7R7oTRpOcnTT/zrtXZ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184</v>
      </c>
      <c r="C9" s="49">
        <v>3.56E-2</v>
      </c>
      <c r="D9" s="1"/>
    </row>
    <row r="10" spans="1:4" x14ac:dyDescent="0.3">
      <c r="A10" s="1"/>
      <c r="B10" s="43" t="s">
        <v>183</v>
      </c>
      <c r="C10" s="49">
        <v>8.0799999999999997E-2</v>
      </c>
      <c r="D10" s="1"/>
    </row>
    <row r="11" spans="1:4" x14ac:dyDescent="0.3">
      <c r="A11" s="1"/>
      <c r="B11" s="43" t="s">
        <v>194</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185</v>
      </c>
      <c r="C16" s="37">
        <v>0</v>
      </c>
      <c r="D16" s="1"/>
    </row>
    <row r="17" spans="1:4" x14ac:dyDescent="0.3">
      <c r="A17" s="1"/>
      <c r="B17" s="43" t="s">
        <v>108</v>
      </c>
      <c r="C17" s="37">
        <v>0</v>
      </c>
      <c r="D17" s="1"/>
    </row>
    <row r="18" spans="1:4" x14ac:dyDescent="0.3">
      <c r="A18" s="1"/>
      <c r="B18" s="43" t="s">
        <v>195</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IaGXyPyUxrjkwmrE1Ghf5DFFWb/25Bq2OdwlHeIVDzYmPGWASzc6dx/u+iCkWkVs88yjATd2+QYUQRUHtTvRdQ==" saltValue="vF6Okhqs+72SzzmwDEh6A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26487375.217146702</v>
      </c>
      <c r="D9" s="8" t="s">
        <v>3</v>
      </c>
      <c r="E9" s="1"/>
    </row>
    <row r="10" spans="1:5" ht="17.100000000000001" customHeight="1" x14ac:dyDescent="0.3">
      <c r="A10" s="1"/>
      <c r="B10" s="24" t="s">
        <v>32</v>
      </c>
      <c r="C10" s="7">
        <f>'Fane 10.1. Varige tillæg'!C18</f>
        <v>18152.691200000001</v>
      </c>
      <c r="D10" s="8" t="s">
        <v>3</v>
      </c>
      <c r="E10" s="1"/>
    </row>
    <row r="11" spans="1:5" ht="17.100000000000001" customHeight="1" x14ac:dyDescent="0.3">
      <c r="A11" s="1"/>
      <c r="B11" s="24" t="s">
        <v>33</v>
      </c>
      <c r="C11" s="9">
        <f>'Fane 10.1. Varige tillæg'!E18</f>
        <v>78261.088499999998</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1762505.2104909362</v>
      </c>
      <c r="D16" s="8" t="s">
        <v>3</v>
      </c>
      <c r="E16" s="1"/>
    </row>
    <row r="17" spans="1:5" ht="17.100000000000001" customHeight="1" x14ac:dyDescent="0.3">
      <c r="A17" s="1"/>
      <c r="B17" s="24" t="s">
        <v>9</v>
      </c>
      <c r="C17" s="9">
        <f>-SUM(C9:C16)*'Fane 5. Individuelt eff. krav'!C9</f>
        <v>0</v>
      </c>
      <c r="D17" s="8" t="s">
        <v>3</v>
      </c>
      <c r="E17" s="1"/>
    </row>
    <row r="18" spans="1:5" ht="17.100000000000001" customHeight="1" x14ac:dyDescent="0.3">
      <c r="A18" s="1"/>
      <c r="B18" s="24" t="s">
        <v>21</v>
      </c>
      <c r="C18" s="9">
        <f>-'Fane 4.1. Gen. krav - drift'!C17</f>
        <v>-226276.41215008925</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28120017.795187548</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17599202.679850411</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0</v>
      </c>
      <c r="D30" s="11" t="s">
        <v>3</v>
      </c>
      <c r="E30" s="1"/>
    </row>
    <row r="31" spans="1:5" x14ac:dyDescent="0.3">
      <c r="A31" s="1"/>
      <c r="B31" s="25" t="s">
        <v>70</v>
      </c>
      <c r="C31" s="53"/>
      <c r="D31" s="19"/>
      <c r="E31" s="1"/>
    </row>
    <row r="32" spans="1:5" x14ac:dyDescent="0.3">
      <c r="A32" s="1"/>
      <c r="B32" s="58" t="s">
        <v>71</v>
      </c>
      <c r="C32" s="10">
        <f>'Fane 8. Skattesagen'!C11</f>
        <v>-173986</v>
      </c>
      <c r="D32" s="11" t="s">
        <v>3</v>
      </c>
      <c r="E32" s="1"/>
    </row>
    <row r="33" spans="1:5" x14ac:dyDescent="0.3">
      <c r="A33" s="1"/>
      <c r="B33" s="52" t="s">
        <v>69</v>
      </c>
      <c r="C33" s="29">
        <f>SUM(C20,C22,C28,C30,C32)</f>
        <v>45545234.475037962</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J1VXdU29xRR0QASObfRaHn2I+Nkx1VTdp2KOCSbNULOElKEhV9rTY3sJD8ejO+qPKKWxuXw7C4fjrmPs68Y0WA==" saltValue="WOFN3er+j5bOm27lAoHKC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126</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28120017.795187548</v>
      </c>
      <c r="D9" s="8" t="s">
        <v>3</v>
      </c>
      <c r="E9" s="1"/>
    </row>
    <row r="10" spans="1:5" ht="15" customHeight="1" x14ac:dyDescent="0.3">
      <c r="A10" s="1"/>
      <c r="B10" s="47" t="s">
        <v>17</v>
      </c>
      <c r="C10" s="41">
        <f>C9*'Fane 13. Nøgletal'!C11</f>
        <v>1864357.1798209343</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drift'!C22</f>
        <v>-236452.9675101274</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29747922.007498354</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18766029.817524493</v>
      </c>
      <c r="D16" s="11" t="s">
        <v>3</v>
      </c>
      <c r="E16" s="1"/>
    </row>
    <row r="17" spans="1:5" x14ac:dyDescent="0.3">
      <c r="A17" s="1"/>
      <c r="B17" s="25" t="s">
        <v>65</v>
      </c>
      <c r="C17" s="53"/>
      <c r="D17" s="19"/>
      <c r="E17" s="1"/>
    </row>
    <row r="18" spans="1:5" ht="15" customHeight="1" x14ac:dyDescent="0.3">
      <c r="A18" s="1"/>
      <c r="B18" s="45" t="s">
        <v>66</v>
      </c>
      <c r="C18" s="10">
        <f>'Fane 7. Kontrol af ØR2023'!C30</f>
        <v>0</v>
      </c>
      <c r="D18" s="11" t="s">
        <v>3</v>
      </c>
      <c r="E18" s="1"/>
    </row>
    <row r="19" spans="1:5" x14ac:dyDescent="0.3">
      <c r="A19" s="1"/>
      <c r="B19" s="25" t="s">
        <v>70</v>
      </c>
      <c r="C19" s="53"/>
      <c r="D19" s="19"/>
      <c r="E19" s="1"/>
    </row>
    <row r="20" spans="1:5" x14ac:dyDescent="0.3">
      <c r="A20" s="1"/>
      <c r="B20" s="58" t="s">
        <v>71</v>
      </c>
      <c r="C20" s="10">
        <f>'Fane 8. Skattesagen'!C12</f>
        <v>-173986</v>
      </c>
      <c r="D20" s="11" t="s">
        <v>3</v>
      </c>
      <c r="E20" s="1"/>
    </row>
    <row r="21" spans="1:5" x14ac:dyDescent="0.3">
      <c r="A21" s="1"/>
      <c r="B21" s="52" t="s">
        <v>73</v>
      </c>
      <c r="C21" s="12">
        <f>SUM(C14,C16,C18,C20)</f>
        <v>48339965.825022846</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xBctd3IhcPKei5AJ51NX+BlR60xC4YsPSxKRChpO85yQ/92w2z66f9Q3a4DgHlcs2M7BYUZAPafkO5WD6zf6Hg==" saltValue="yMVJPrgrzjx9nRpdMmJz9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127</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105</v>
      </c>
      <c r="C9" s="7">
        <f>'Fane 2.2. Økonomisk ramme 2026'!C14</f>
        <v>29747922.007498354</v>
      </c>
      <c r="D9" s="8" t="s">
        <v>3</v>
      </c>
      <c r="E9" s="1"/>
    </row>
    <row r="10" spans="1:5" ht="15" customHeight="1" x14ac:dyDescent="0.3">
      <c r="A10" s="1"/>
      <c r="B10" s="47" t="s">
        <v>17</v>
      </c>
      <c r="C10" s="41">
        <f>C9*'Fane 13. Nøgletal'!C11</f>
        <v>1972287.2290971407</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drift'!C27</f>
        <v>-247087.20327092789</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31473122.033324566</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20010217.594426367</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Skattesagen'!C13</f>
        <v>-173986</v>
      </c>
      <c r="D20" s="11" t="s">
        <v>3</v>
      </c>
      <c r="E20" s="1"/>
    </row>
    <row r="21" spans="1:5" x14ac:dyDescent="0.3">
      <c r="A21" s="1"/>
      <c r="B21" s="52" t="s">
        <v>106</v>
      </c>
      <c r="C21" s="12">
        <f>SUM(C14,C16,C18,C20)</f>
        <v>51309353.627750933</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0eLkl1lqgbZqaWpt2QMfLNxecM/ZH0POsJcjvD5mkzgDwFjg/lNL63PR3HRSU/NIYFejUk2KHxQF1jxM4ux7hw==" saltValue="4Jrb4FuFTNmTyxVAdGe0M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129</v>
      </c>
      <c r="C9" s="7">
        <f>'Fane 2.3. Økonomisk ramme 2027'!C14</f>
        <v>31473122.033324566</v>
      </c>
      <c r="D9" s="8" t="s">
        <v>3</v>
      </c>
      <c r="E9" s="1"/>
    </row>
    <row r="10" spans="1:5" ht="15" customHeight="1" x14ac:dyDescent="0.3">
      <c r="A10" s="1"/>
      <c r="B10" s="47" t="s">
        <v>17</v>
      </c>
      <c r="C10" s="9">
        <f>C9*'Fane 13. Nøgletal'!C11</f>
        <v>2086667.9908094187</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drift'!C32</f>
        <v>-258199.70315083463</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33301590.320983153</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21336895.020936836</v>
      </c>
      <c r="D16" s="11" t="s">
        <v>3</v>
      </c>
      <c r="E16" s="1"/>
    </row>
    <row r="17" spans="1:5" x14ac:dyDescent="0.3">
      <c r="A17" s="1"/>
      <c r="B17" s="25" t="s">
        <v>70</v>
      </c>
      <c r="C17" s="53"/>
      <c r="D17" s="19"/>
      <c r="E17" s="1"/>
    </row>
    <row r="18" spans="1:5" x14ac:dyDescent="0.3">
      <c r="A18" s="1"/>
      <c r="B18" s="58" t="s">
        <v>71</v>
      </c>
      <c r="C18" s="10">
        <f>'Fane 8. Skattesagen'!C14</f>
        <v>-173986</v>
      </c>
      <c r="D18" s="11" t="s">
        <v>3</v>
      </c>
      <c r="E18" s="1"/>
    </row>
    <row r="19" spans="1:5" x14ac:dyDescent="0.3">
      <c r="A19" s="1"/>
      <c r="B19" s="52" t="s">
        <v>130</v>
      </c>
      <c r="C19" s="12">
        <f>SUM(C14,C16,C18)</f>
        <v>54464499.341919988</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MQ628/9NI9UlJDkeDHNJUnfjJUDtcDdQ+ytnocASUKm+1uSUI1vuDb8yBJ5HIdtZR7SgBQSqNRvC1DmUgJA/OA==" saltValue="N84D8zJHZxqt+dAz6qQuJ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131</v>
      </c>
      <c r="C3" s="96"/>
      <c r="D3" s="96"/>
      <c r="E3" s="1"/>
    </row>
    <row r="4" spans="1:5" ht="15" customHeight="1" x14ac:dyDescent="0.3">
      <c r="A4" s="1"/>
      <c r="B4" s="96"/>
      <c r="C4" s="96"/>
      <c r="D4" s="96"/>
      <c r="E4" s="1"/>
    </row>
    <row r="5" spans="1:5" ht="15" customHeight="1" x14ac:dyDescent="0.3">
      <c r="A5" s="1"/>
      <c r="B5" s="1"/>
      <c r="C5" s="1"/>
      <c r="D5" s="1"/>
      <c r="E5" s="1"/>
    </row>
    <row r="6" spans="1:5" ht="15" customHeight="1" x14ac:dyDescent="0.3">
      <c r="A6" s="1"/>
      <c r="B6" s="1"/>
      <c r="C6" s="1"/>
      <c r="D6" s="1"/>
      <c r="E6" s="1"/>
    </row>
    <row r="7" spans="1:5" x14ac:dyDescent="0.3">
      <c r="A7" s="1"/>
      <c r="B7" s="1"/>
      <c r="C7" s="1"/>
      <c r="D7" s="1"/>
      <c r="E7" s="1"/>
    </row>
    <row r="8" spans="1:5" x14ac:dyDescent="0.3">
      <c r="A8" s="1"/>
      <c r="B8" s="52" t="s">
        <v>132</v>
      </c>
      <c r="C8" s="53"/>
      <c r="D8" s="19"/>
      <c r="E8" s="1"/>
    </row>
    <row r="9" spans="1:5" x14ac:dyDescent="0.3">
      <c r="A9" s="1"/>
      <c r="B9" s="55" t="s">
        <v>63</v>
      </c>
      <c r="C9" s="7">
        <v>26002989.050496228</v>
      </c>
      <c r="D9" s="8" t="s">
        <v>3</v>
      </c>
      <c r="E9" s="1"/>
    </row>
    <row r="10" spans="1:5" x14ac:dyDescent="0.3">
      <c r="A10" s="1"/>
      <c r="B10" s="24" t="s">
        <v>32</v>
      </c>
      <c r="C10" s="7">
        <v>20504.937600000001</v>
      </c>
      <c r="D10" s="8" t="s">
        <v>3</v>
      </c>
      <c r="E10" s="1"/>
    </row>
    <row r="11" spans="1:5" ht="15" customHeight="1" x14ac:dyDescent="0.3">
      <c r="A11" s="1"/>
      <c r="B11" s="24" t="s">
        <v>33</v>
      </c>
      <c r="C11" s="9">
        <v>73494.399999999994</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933301.55667574564</v>
      </c>
      <c r="D16" s="8" t="s">
        <v>3</v>
      </c>
      <c r="E16" s="1"/>
    </row>
    <row r="17" spans="1:5" x14ac:dyDescent="0.3">
      <c r="A17" s="1"/>
      <c r="B17" s="24" t="s">
        <v>9</v>
      </c>
      <c r="C17" s="9">
        <v>-326747.34776093252</v>
      </c>
      <c r="D17" s="8" t="s">
        <v>3</v>
      </c>
      <c r="E17" s="1"/>
    </row>
    <row r="18" spans="1:5" x14ac:dyDescent="0.3">
      <c r="A18" s="1"/>
      <c r="B18" s="24" t="s">
        <v>21</v>
      </c>
      <c r="C18" s="9">
        <v>-216167.37986434283</v>
      </c>
      <c r="D18" s="8" t="s">
        <v>3</v>
      </c>
      <c r="E18" s="1"/>
    </row>
    <row r="19" spans="1:5" x14ac:dyDescent="0.3">
      <c r="A19" s="1"/>
      <c r="B19" s="24" t="s">
        <v>22</v>
      </c>
      <c r="C19" s="9">
        <v>0</v>
      </c>
      <c r="D19" s="8" t="s">
        <v>3</v>
      </c>
      <c r="E19" s="1"/>
    </row>
    <row r="20" spans="1:5" x14ac:dyDescent="0.3">
      <c r="A20" s="1"/>
      <c r="B20" s="73" t="s">
        <v>19</v>
      </c>
      <c r="C20" s="10">
        <v>26487375.217146702</v>
      </c>
      <c r="D20" s="11" t="s">
        <v>3</v>
      </c>
      <c r="E20" s="1"/>
    </row>
    <row r="21" spans="1:5" x14ac:dyDescent="0.3">
      <c r="A21" s="1"/>
      <c r="B21" s="52" t="s">
        <v>11</v>
      </c>
      <c r="C21" s="53"/>
      <c r="D21" s="19"/>
      <c r="E21" s="1"/>
    </row>
    <row r="22" spans="1:5" x14ac:dyDescent="0.3">
      <c r="A22" s="1"/>
      <c r="B22" s="54" t="s">
        <v>11</v>
      </c>
      <c r="C22" s="10">
        <v>19360519.690471679</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50">
        <v>0</v>
      </c>
      <c r="D28" s="11" t="s">
        <v>3</v>
      </c>
      <c r="E28" s="1"/>
    </row>
    <row r="29" spans="1:5" x14ac:dyDescent="0.3">
      <c r="A29" s="1"/>
      <c r="B29" s="25" t="s">
        <v>65</v>
      </c>
      <c r="C29" s="53"/>
      <c r="D29" s="19"/>
      <c r="E29" s="1"/>
    </row>
    <row r="30" spans="1:5" x14ac:dyDescent="0.3">
      <c r="A30" s="1"/>
      <c r="B30" s="58" t="s">
        <v>66</v>
      </c>
      <c r="C30" s="10">
        <v>0</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52" t="s">
        <v>67</v>
      </c>
      <c r="C33" s="29">
        <v>45847894.907618381</v>
      </c>
      <c r="D33" s="19" t="s">
        <v>3</v>
      </c>
      <c r="E33" s="1"/>
    </row>
    <row r="34" spans="1:5" ht="30" customHeight="1" x14ac:dyDescent="0.3">
      <c r="A34" s="1"/>
      <c r="B34" s="97" t="s">
        <v>190</v>
      </c>
      <c r="C34" s="97"/>
      <c r="D34" s="97"/>
      <c r="E34" s="1"/>
    </row>
    <row r="35" spans="1:5" ht="27.75" customHeight="1"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pWoRLDlex419vKG3nKNvt3odDjvblb0XRXDHOQX5/fryChD5RmwNh4OOHdOf5F0CQ2uQatxauSoACO/ZrjdeEg==" saltValue="KPcGXbztY1qWWwg8jNE1j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164</v>
      </c>
      <c r="C9" s="22">
        <v>10786207.077285999</v>
      </c>
      <c r="D9" s="14" t="s">
        <v>3</v>
      </c>
      <c r="E9" s="1"/>
    </row>
    <row r="10" spans="1:5" x14ac:dyDescent="0.3">
      <c r="A10" s="1"/>
      <c r="B10" s="56" t="s">
        <v>107</v>
      </c>
      <c r="C10" s="22">
        <f>('Fane 3. Omkostninger i ØR2024'!C10+'Fane 3. Omkostninger i ØR2024'!C12+'Fane 3. Omkostninger i ØR2024'!C14)*(1+'Fane 13. Nøgletal'!C10)</f>
        <v>22161.73655808</v>
      </c>
      <c r="D10" s="14" t="s">
        <v>3</v>
      </c>
      <c r="E10" s="1"/>
    </row>
    <row r="11" spans="1:5" x14ac:dyDescent="0.3">
      <c r="A11" s="1"/>
      <c r="B11" s="56" t="s">
        <v>81</v>
      </c>
      <c r="C11" s="22">
        <f>C9*'Fane 13. Nøgletal'!C23+C10*'Fane 13. Nøgletal'!C23</f>
        <v>216167.37627688158</v>
      </c>
      <c r="D11" s="14" t="s">
        <v>3</v>
      </c>
      <c r="E11" s="1"/>
    </row>
    <row r="12" spans="1:5" x14ac:dyDescent="0.3">
      <c r="A12" s="1"/>
      <c r="B12" s="52"/>
      <c r="C12" s="31"/>
      <c r="D12" s="19"/>
      <c r="E12" s="1"/>
    </row>
    <row r="13" spans="1:5" x14ac:dyDescent="0.3">
      <c r="A13" s="1"/>
      <c r="B13" s="1"/>
      <c r="C13" s="32"/>
      <c r="D13" s="1"/>
      <c r="E13" s="1"/>
    </row>
    <row r="14" spans="1:5" x14ac:dyDescent="0.3">
      <c r="A14" s="1"/>
      <c r="B14" s="98" t="s">
        <v>150</v>
      </c>
      <c r="C14" s="99"/>
      <c r="D14" s="100"/>
      <c r="E14" s="1"/>
    </row>
    <row r="15" spans="1:5" x14ac:dyDescent="0.3">
      <c r="A15" s="1"/>
      <c r="B15" s="56" t="s">
        <v>165</v>
      </c>
      <c r="C15" s="22">
        <f>(C9+C10-C11)*(1+'Fane 13. Nøgletal'!C11)</f>
        <v>11294464.392877903</v>
      </c>
      <c r="D15" s="14" t="s">
        <v>3</v>
      </c>
      <c r="E15" s="1"/>
    </row>
    <row r="16" spans="1:5" x14ac:dyDescent="0.3">
      <c r="A16" s="1"/>
      <c r="B16" s="56" t="s">
        <v>151</v>
      </c>
      <c r="C16" s="22">
        <f>('Fane 2.1. Økonomisk ramme 2025'!C10+'Fane 2.1. Økonomisk ramme 2025'!C12+'Fane 2.1. Økonomisk ramme 2025'!C14)*(1+'Fane 13. Nøgletal'!C11)</f>
        <v>19356.214626560002</v>
      </c>
      <c r="D16" s="14" t="s">
        <v>3</v>
      </c>
      <c r="E16" s="1"/>
    </row>
    <row r="17" spans="1:5" x14ac:dyDescent="0.3">
      <c r="A17" s="1"/>
      <c r="B17" s="56" t="s">
        <v>152</v>
      </c>
      <c r="C17" s="22">
        <f>(C15+C16)*'Fane 13. Nøgletal'!C23</f>
        <v>226276.41215008925</v>
      </c>
      <c r="D17" s="14" t="s">
        <v>3</v>
      </c>
      <c r="E17" s="1"/>
    </row>
    <row r="18" spans="1:5" x14ac:dyDescent="0.3">
      <c r="A18" s="1"/>
      <c r="B18" s="52"/>
      <c r="C18" s="31"/>
      <c r="D18" s="19"/>
      <c r="E18" s="1"/>
    </row>
    <row r="19" spans="1:5" x14ac:dyDescent="0.3">
      <c r="A19" s="1"/>
      <c r="B19" s="1"/>
      <c r="C19" s="32"/>
      <c r="D19" s="1"/>
      <c r="E19" s="1"/>
    </row>
    <row r="20" spans="1:5" x14ac:dyDescent="0.3">
      <c r="A20" s="1"/>
      <c r="B20" s="98" t="s">
        <v>167</v>
      </c>
      <c r="C20" s="99"/>
      <c r="D20" s="100"/>
      <c r="E20" s="1"/>
    </row>
    <row r="21" spans="1:5" x14ac:dyDescent="0.3">
      <c r="A21" s="1"/>
      <c r="B21" s="56" t="s">
        <v>166</v>
      </c>
      <c r="C21" s="48">
        <f>(C15+C16-C17)*(1+'Fane 13. Nøgletal'!C11)</f>
        <v>11822648.375506369</v>
      </c>
      <c r="D21" s="14" t="s">
        <v>3</v>
      </c>
      <c r="E21" s="1"/>
    </row>
    <row r="22" spans="1:5" x14ac:dyDescent="0.3">
      <c r="A22" s="1"/>
      <c r="B22" s="56" t="s">
        <v>168</v>
      </c>
      <c r="C22" s="48">
        <f>(C21)*'Fane 13. Nøgletal'!C23</f>
        <v>236452.9675101274</v>
      </c>
      <c r="D22" s="14" t="s">
        <v>3</v>
      </c>
      <c r="E22" s="1"/>
    </row>
    <row r="23" spans="1:5" x14ac:dyDescent="0.3">
      <c r="A23" s="1"/>
      <c r="B23" s="52"/>
      <c r="C23" s="31"/>
      <c r="D23" s="19"/>
      <c r="E23" s="1"/>
    </row>
    <row r="24" spans="1:5" x14ac:dyDescent="0.3">
      <c r="A24" s="1"/>
      <c r="B24" s="1"/>
      <c r="C24" s="32"/>
      <c r="D24" s="1"/>
      <c r="E24" s="1"/>
    </row>
    <row r="25" spans="1:5" x14ac:dyDescent="0.3">
      <c r="A25" s="1"/>
      <c r="B25" s="98" t="s">
        <v>113</v>
      </c>
      <c r="C25" s="99"/>
      <c r="D25" s="100"/>
      <c r="E25" s="1"/>
    </row>
    <row r="26" spans="1:5" x14ac:dyDescent="0.3">
      <c r="A26" s="1"/>
      <c r="B26" s="56" t="s">
        <v>114</v>
      </c>
      <c r="C26" s="48">
        <f>(C21-C22)*(1+'Fane 13. Nøgletal'!C11)</f>
        <v>12354360.163546395</v>
      </c>
      <c r="D26" s="14" t="s">
        <v>3</v>
      </c>
      <c r="E26" s="1"/>
    </row>
    <row r="27" spans="1:5" x14ac:dyDescent="0.3">
      <c r="A27" s="1"/>
      <c r="B27" s="56" t="s">
        <v>115</v>
      </c>
      <c r="C27" s="48">
        <f>(C26)*'Fane 13. Nøgletal'!C23</f>
        <v>247087.20327092789</v>
      </c>
      <c r="D27" s="14" t="s">
        <v>3</v>
      </c>
      <c r="E27" s="1"/>
    </row>
    <row r="28" spans="1:5" x14ac:dyDescent="0.3">
      <c r="A28" s="1"/>
      <c r="B28" s="52"/>
      <c r="C28" s="42"/>
      <c r="D28" s="19"/>
      <c r="E28" s="1"/>
    </row>
    <row r="29" spans="1:5" x14ac:dyDescent="0.3">
      <c r="A29" s="1"/>
      <c r="B29" s="1"/>
      <c r="C29" s="32"/>
      <c r="D29" s="1"/>
      <c r="E29" s="1"/>
    </row>
    <row r="30" spans="1:5" x14ac:dyDescent="0.3">
      <c r="A30" s="1"/>
      <c r="B30" s="98" t="s">
        <v>133</v>
      </c>
      <c r="C30" s="99"/>
      <c r="D30" s="100"/>
      <c r="E30" s="1"/>
    </row>
    <row r="31" spans="1:5" x14ac:dyDescent="0.3">
      <c r="A31" s="1"/>
      <c r="B31" s="56" t="s">
        <v>134</v>
      </c>
      <c r="C31" s="48">
        <f>(C26-C27)*(1+'Fane 13. Nøgletal'!C11)</f>
        <v>12909985.157541731</v>
      </c>
      <c r="D31" s="14" t="s">
        <v>3</v>
      </c>
      <c r="E31" s="1"/>
    </row>
    <row r="32" spans="1:5" x14ac:dyDescent="0.3">
      <c r="A32" s="1"/>
      <c r="B32" s="56" t="s">
        <v>135</v>
      </c>
      <c r="C32" s="48">
        <f>(C31)*'Fane 13. Nøgletal'!C23</f>
        <v>258199.70315083463</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6GJQOxCNOzGFbKjbwQESswklRW/PjZXvZQmlNvNQQpFrMQLp0W6RHQDvg05FvPQXwFvf9dMM2TOzRZ7THSbGZA==" saltValue="ory26VmsGRuooQaX7oUl1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159</v>
      </c>
      <c r="C9" s="48">
        <v>18382479.393489424</v>
      </c>
      <c r="D9" s="14" t="s">
        <v>3</v>
      </c>
      <c r="E9" s="1"/>
    </row>
    <row r="10" spans="1:5" x14ac:dyDescent="0.3">
      <c r="A10" s="1"/>
      <c r="B10" s="56" t="s">
        <v>110</v>
      </c>
      <c r="C10" s="48">
        <f>('Fane 3. Omkostninger i ØR2024'!C11+'Fane 3. Omkostninger i ØR2024'!C13+'Fane 3. Omkostninger i ØR2024'!C15)*(1+'Fane 13. Nøgletal'!C10)</f>
        <v>79432.74751999999</v>
      </c>
      <c r="D10" s="14" t="s">
        <v>3</v>
      </c>
      <c r="E10" s="1"/>
    </row>
    <row r="11" spans="1:5" x14ac:dyDescent="0.3">
      <c r="A11" s="1"/>
      <c r="B11" s="56" t="s">
        <v>111</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153</v>
      </c>
      <c r="C14" s="99"/>
      <c r="D14" s="100"/>
      <c r="E14" s="1"/>
    </row>
    <row r="15" spans="1:5" x14ac:dyDescent="0.3">
      <c r="A15" s="1"/>
      <c r="B15" s="56" t="s">
        <v>160</v>
      </c>
      <c r="C15" s="48">
        <f>(C9+C10-C11)*(1+'Fane 13. Nøgletal'!C11)</f>
        <v>19685936.915958349</v>
      </c>
      <c r="D15" s="14" t="s">
        <v>3</v>
      </c>
      <c r="E15" s="1"/>
    </row>
    <row r="16" spans="1:5" x14ac:dyDescent="0.3">
      <c r="A16" s="1"/>
      <c r="B16" s="56" t="s">
        <v>154</v>
      </c>
      <c r="C16" s="48">
        <f>('Fane 2.1. Økonomisk ramme 2025'!C11+'Fane 2.1. Økonomisk ramme 2025'!C13+'Fane 2.1. Økonomisk ramme 2025'!C15)*(1+'Fane 13. Nøgletal'!C11)</f>
        <v>83449.79866755</v>
      </c>
      <c r="D16" s="14" t="s">
        <v>3</v>
      </c>
      <c r="E16" s="1"/>
    </row>
    <row r="17" spans="1:5" x14ac:dyDescent="0.3">
      <c r="A17" s="1"/>
      <c r="B17" s="56" t="s">
        <v>155</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163</v>
      </c>
      <c r="C20" s="99"/>
      <c r="D20" s="100"/>
      <c r="E20" s="1"/>
    </row>
    <row r="21" spans="1:5" x14ac:dyDescent="0.3">
      <c r="A21" s="1"/>
      <c r="B21" s="56" t="s">
        <v>161</v>
      </c>
      <c r="C21" s="48">
        <f>(C15+C16-C17)*(1+'Fane 13. Nøgletal'!C11)</f>
        <v>21080097.053805597</v>
      </c>
      <c r="D21" s="14" t="s">
        <v>3</v>
      </c>
      <c r="E21" s="1"/>
    </row>
    <row r="22" spans="1:5" x14ac:dyDescent="0.3">
      <c r="A22" s="1"/>
      <c r="B22" s="56" t="s">
        <v>162</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116</v>
      </c>
      <c r="C25" s="99"/>
      <c r="D25" s="100"/>
      <c r="E25" s="1"/>
    </row>
    <row r="26" spans="1:5" x14ac:dyDescent="0.3">
      <c r="A26" s="1"/>
      <c r="B26" s="56" t="s">
        <v>117</v>
      </c>
      <c r="C26" s="48">
        <f>(C21-C22)*(1+'Fane 13. Nøgletal'!C11)</f>
        <v>22477707.488472909</v>
      </c>
      <c r="D26" s="14" t="s">
        <v>3</v>
      </c>
      <c r="E26" s="1"/>
    </row>
    <row r="27" spans="1:5" x14ac:dyDescent="0.3">
      <c r="A27" s="1"/>
      <c r="B27" s="56" t="s">
        <v>118</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136</v>
      </c>
      <c r="C30" s="99"/>
      <c r="D30" s="100"/>
      <c r="E30" s="1"/>
    </row>
    <row r="31" spans="1:5" x14ac:dyDescent="0.3">
      <c r="A31" s="1"/>
      <c r="B31" s="56" t="s">
        <v>137</v>
      </c>
      <c r="C31" s="48">
        <f>(C26-C27)*(1+'Fane 13. Nøgletal'!C11)</f>
        <v>23967979.494958661</v>
      </c>
      <c r="D31" s="14" t="s">
        <v>3</v>
      </c>
      <c r="E31" s="1"/>
    </row>
    <row r="32" spans="1:5" x14ac:dyDescent="0.3">
      <c r="A32" s="1"/>
      <c r="B32" s="56" t="s">
        <v>138</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tUS8DpQA0kXAOFlbbs6B2aUvqPButJw6bcUiIjw8LnhKbF/VjC48lwBh7yQ7wq5EZj/a7jhFgiadB/OcKgjk5g==" saltValue="xOeLTei5sWs20r7UHKH/zg=="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157</v>
      </c>
      <c r="C9" s="44">
        <v>0</v>
      </c>
      <c r="D9" s="1"/>
    </row>
    <row r="10" spans="1:4" x14ac:dyDescent="0.3">
      <c r="A10" s="1"/>
      <c r="B10" s="52"/>
      <c r="C10" s="19"/>
      <c r="D10" s="1"/>
    </row>
    <row r="11" spans="1:4" ht="15" customHeight="1" x14ac:dyDescent="0.3">
      <c r="A11" s="1"/>
      <c r="B11" s="103" t="s">
        <v>158</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gyGU/wwqiY+l+mO3f8ijR2pFkqpruGvAdIsVdCByQSNauEvfN8ApoX/1ev+2kuSE2XSZ60vFNWV8FOwosC89nA==" saltValue="RcWpW7iuTYEFaa6WjyhgW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2024-09-09T09:03:19Z</dcterms:modified>
</cp:coreProperties>
</file>