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Denne_projektmappe" defaultThemeVersion="124226"/>
  <mc:AlternateContent xmlns:mc="http://schemas.openxmlformats.org/markup-compatibility/2006">
    <mc:Choice Requires="x15">
      <x15ac:absPath xmlns:x15ac="http://schemas.microsoft.com/office/spreadsheetml/2010/11/ac" url="E:\VAND\Sagsbehandling\Drikkevand\DIN Forsyning Vand AS (V044)\ØR2024\"/>
    </mc:Choice>
  </mc:AlternateContent>
  <xr:revisionPtr revIDLastSave="0" documentId="13_ncr:1_{11586544-B0C9-4483-96C0-292BED873F04}"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E23" i="41" l="1"/>
  <c r="E27" i="41" s="1"/>
  <c r="C29" i="2" s="1"/>
  <c r="E31" i="41" l="1"/>
  <c r="E33" i="41" s="1"/>
  <c r="C8" i="2"/>
  <c r="C17" i="22" l="1"/>
  <c r="C17" i="15"/>
  <c r="C13" i="29"/>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<sst xmlns="http://schemas.openxmlformats.org/spreadsheetml/2006/main" count="552" uniqueCount="265">
  <si>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</si>
  <si>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</si>
  <si>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</si>
  <si>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</si>
  <si>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</si>
  <si>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</si>
  <si>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</si>
  <si>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</si>
  <si>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</si>
  <si>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</si>
  <si>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</si>
  <si>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</si>
  <si>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</si>
  <si>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</si>
  <si>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</si>
  <si>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</si>
  <si>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</si>
  <si>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</si>
  <si>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</si>
  <si>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</si>
  <si>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</si>
  <si>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</si>
  <si>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</si>
  <si>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</si>
  <si>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</si>
  <si>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</si>
  <si>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</si>
  <si>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</si>
  <si>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</si>
  <si>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</si>
  <si>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</si>
  <si>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</si>
  <si>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</si>
  <si>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</si>
  <si>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</si>
  <si>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</si>
  <si>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</si>
  <si>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</si>
  <si>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</si>
  <si>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</si>
  <si>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</si>
  <si>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</si>
  <si>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</si>
  <si>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</si>
  <si>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</si>
  <si>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</si>
  <si>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</si>
  <si>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</si>
  <si>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</si>
  <si>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</si>
  <si>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</si>
  <si>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</si>
  <si>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</si>
  <si>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</si>
  <si>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</si>
  <si>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</si>
  <si>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</si>
  <si>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</si>
  <si>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</si>
  <si>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</si>
  <si>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</si>
  <si>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</si>
  <si>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</si>
  <si>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</si>
  <si>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</si>
  <si>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</si>
  <si>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</si>
  <si>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</si>
  <si>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</si>
  <si>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</si>
  <si>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</si>
  <si>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</si>
  <si>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</si>
  <si>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</si>
  <si>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</si>
  <si>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</si>
  <si>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</si>
  <si>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</si>
  <si>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</si>
  <si>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</si>
  <si>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</si>
  <si>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</si>
  <si>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</si>
  <si>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</si>
  <si>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</si>
  <si>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</si>
  <si>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</si>
  <si>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</si>
  <si>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</si>
  <si>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</si>
  <si>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</si>
  <si>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</si>
  <si>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</si>
  <si>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</si>
  <si>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</si>
  <si>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</si>
  <si>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</si>
  <si>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</si>
  <si>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</si>
  <si>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</si>
  <si>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</si>
  <si>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</si>
  <si>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</si>
  <si>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</si>
  <si>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</si>
  <si>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</si>
  <si>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</si>
  <si>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</si>
  <si>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</si>
  <si>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</si>
  <si>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</si>
  <si>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</si>
  <si>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</si>
  <si>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</si>
  <si>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</si>
  <si>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</si>
  <si>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</si>
  <si>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</si>
  <si>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</si>
  <si>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</si>
  <si>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</si>
  <si>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</si>
  <si>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</si>
  <si>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</si>
  <si>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</si>
  <si>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</si>
  <si>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</si>
  <si>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</si>
  <si>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</si>
  <si>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</si>
  <si>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</si>
  <si>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</si>
  <si>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</si>
  <si>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</si>
  <si>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</si>
  <si>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</si>
  <si>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</si>
  <si>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</si>
  <si>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</si>
  <si>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</si>
  <si>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</si>
  <si>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</si>
  <si>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</si>
  <si>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</si>
  <si>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</si>
  <si>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</si>
  <si>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</si>
  <si>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</si>
  <si>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</si>
  <si>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</si>
  <si>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</si>
  <si>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</si>
  <si>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</si>
  <si>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</si>
  <si>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</si>
  <si>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</si>
  <si>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</si>
  <si>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</si>
  <si>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</si>
  <si>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</si>
  <si>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</si>
  <si>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</si>
  <si>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</si>
  <si>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</si>
  <si>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</si>
  <si>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</si>
  <si>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</si>
  <si>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</si>
  <si>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</si>
  <si>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</si>
  <si>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</si>
  <si>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</si>
  <si>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</si>
  <si>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</si>
  <si>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</si>
  <si>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</si>
  <si>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</si>
  <si>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</si>
  <si>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</si>
  <si>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</si>
  <si>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</si>
  <si>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</si>
  <si>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</si>
  <si>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</si>
  <si>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</si>
  <si>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</si>
  <si>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</si>
  <si>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</si>
  <si>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</si>
  <si>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</si>
  <si>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</si>
  <si>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</si>
  <si>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</si>
  <si>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</si>
  <si>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</si>
  <si>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</si>
  <si>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</si>
  <si>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</si>
  <si>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</si>
  <si>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</si>
  <si>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</si>
  <si>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</si>
  <si>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</si>
  <si>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</si>
  <si>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</si>
  <si>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</si>
  <si>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</si>
  <si>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</si>
  <si>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</si>
  <si>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</si>
  <si>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</si>
  <si>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</si>
  <si>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</si>
  <si>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</si>
  <si>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</si>
  <si>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</si>
  <si>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</si>
  <si>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</si>
  <si>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</si>
  <si>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</si>
  <si>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</si>
  <si>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</si>
  <si>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</si>
  <si>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</si>
  <si>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</si>
  <si>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</si>
  <si>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</si>
  <si>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</si>
  <si>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</si>
  <si>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</si>
  <si>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</si>
  <si>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</si>
  <si>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</si>
  <si>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</si>
  <si>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</si>
  <si>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</si>
  <si>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</si>
  <si>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</si>
  <si>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</si>
  <si>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</si>
  <si>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</si>
  <si>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</si>
  <si>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</si>
  <si>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Byggemodninger og nye enkelt tilslutninger i 2022</t>
  </si>
  <si>
    <t>Afgift for ledningsført vand</t>
  </si>
  <si>
    <t>Afgift til Forsyningssekretariatet</t>
  </si>
  <si>
    <t>Køb af ydelser og produkter fra andre vandselskaber reguleret af vandsektorloven</t>
  </si>
  <si>
    <t>Ejendomsskat</t>
  </si>
  <si>
    <t>Erstatninger</t>
  </si>
  <si>
    <t>Pålagte aftaler om dyrkningspraksis eller andre restriktioner i arealanvendelse</t>
  </si>
  <si>
    <t>Frivillige aftaler om dyrkningspraksis eller andre restriktioner i arealanvendelse</t>
  </si>
  <si>
    <t>Ingen engangstillæg</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</si>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</sst>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0" fontId="8" fillId="0" borderId="5" xfId="0" applyNumberFormat="1" applyFont="1" applyFill="1" applyBorder="1" applyProtection="1"/>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8" t="s">
        <v>4</v>
      </c>
      <c r="E6" s="88"/>
      <c r="F6" s="88"/>
      <c r="G6" s="88"/>
      <c r="H6" s="3"/>
      <c r="I6" s="1"/>
    </row>
    <row r="7" spans="1:9" ht="15" customHeight="1" x14ac:dyDescent="0.25">
      <c r="A7" s="1"/>
      <c r="B7" s="1"/>
      <c r="C7" s="3"/>
      <c r="D7" s="88"/>
      <c r="E7" s="88"/>
      <c r="F7" s="88"/>
      <c r="G7" s="88"/>
      <c r="H7" s="3"/>
      <c r="I7" s="1"/>
    </row>
    <row r="8" spans="1:9" ht="15.75" x14ac:dyDescent="0.25">
      <c r="A8" s="1"/>
      <c r="B8" s="1"/>
      <c r="C8" s="4"/>
      <c r="D8" s="90" t="s">
        <v>235</v>
      </c>
      <c r="E8" s="90"/>
      <c r="F8" s="90"/>
      <c r="G8" s="9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9" t="s">
        <v>5</v>
      </c>
      <c r="E11" s="89"/>
      <c r="F11" s="89"/>
      <c r="G11" s="89"/>
      <c r="H11" s="5"/>
      <c r="I11" s="1"/>
    </row>
    <row r="12" spans="1:9" x14ac:dyDescent="0.25">
      <c r="A12" s="1"/>
      <c r="B12" s="1"/>
      <c r="C12" s="1"/>
      <c r="D12" s="1"/>
      <c r="E12" s="1"/>
      <c r="F12" s="1"/>
      <c r="G12" s="1"/>
      <c r="H12" s="1"/>
      <c r="I12" s="1"/>
    </row>
    <row r="13" spans="1:9" x14ac:dyDescent="0.25">
      <c r="A13" s="1"/>
      <c r="B13" s="1"/>
      <c r="C13" s="6" t="s">
        <v>6</v>
      </c>
      <c r="D13" s="85" t="s">
        <v>162</v>
      </c>
      <c r="E13" s="86"/>
      <c r="F13" s="86"/>
      <c r="G13" s="87"/>
      <c r="H13" s="1"/>
      <c r="I13" s="1"/>
    </row>
    <row r="14" spans="1:9" x14ac:dyDescent="0.25">
      <c r="A14" s="1"/>
      <c r="B14" s="1"/>
      <c r="C14" s="6" t="s">
        <v>14</v>
      </c>
      <c r="D14" s="85" t="s">
        <v>197</v>
      </c>
      <c r="E14" s="86"/>
      <c r="F14" s="86"/>
      <c r="G14" s="87"/>
      <c r="H14" s="1"/>
      <c r="I14" s="1"/>
    </row>
    <row r="15" spans="1:9" x14ac:dyDescent="0.25">
      <c r="A15" s="1"/>
      <c r="B15" s="1"/>
      <c r="C15" s="6" t="s">
        <v>30</v>
      </c>
      <c r="D15" s="85" t="s">
        <v>141</v>
      </c>
      <c r="E15" s="86"/>
      <c r="F15" s="86"/>
      <c r="G15" s="87"/>
      <c r="H15" s="1"/>
      <c r="I15" s="1"/>
    </row>
    <row r="16" spans="1:9" x14ac:dyDescent="0.25">
      <c r="A16" s="1"/>
      <c r="B16" s="1"/>
      <c r="C16" s="6" t="s">
        <v>31</v>
      </c>
      <c r="D16" s="85" t="s">
        <v>194</v>
      </c>
      <c r="E16" s="86"/>
      <c r="F16" s="86"/>
      <c r="G16" s="87"/>
      <c r="H16" s="1"/>
      <c r="I16" s="1"/>
    </row>
    <row r="17" spans="1:9" x14ac:dyDescent="0.25">
      <c r="A17" s="1"/>
      <c r="B17" s="1"/>
      <c r="C17" s="6" t="s">
        <v>102</v>
      </c>
      <c r="D17" s="85" t="s">
        <v>195</v>
      </c>
      <c r="E17" s="86"/>
      <c r="F17" s="86"/>
      <c r="G17" s="87"/>
      <c r="H17" s="1"/>
      <c r="I17" s="1"/>
    </row>
    <row r="18" spans="1:9" x14ac:dyDescent="0.25">
      <c r="A18" s="1"/>
      <c r="B18" s="1"/>
      <c r="C18" s="6" t="s">
        <v>86</v>
      </c>
      <c r="D18" s="91" t="s">
        <v>79</v>
      </c>
      <c r="E18" s="92"/>
      <c r="F18" s="92"/>
      <c r="G18" s="93"/>
      <c r="H18" s="1"/>
      <c r="I18" s="1"/>
    </row>
    <row r="19" spans="1:9" x14ac:dyDescent="0.25">
      <c r="A19" s="1"/>
      <c r="B19" s="1"/>
      <c r="C19" s="6" t="s">
        <v>87</v>
      </c>
      <c r="D19" s="91" t="s">
        <v>80</v>
      </c>
      <c r="E19" s="92"/>
      <c r="F19" s="92"/>
      <c r="G19" s="93"/>
      <c r="H19" s="1"/>
      <c r="I19" s="1"/>
    </row>
    <row r="20" spans="1:9" x14ac:dyDescent="0.25">
      <c r="A20" s="1"/>
      <c r="B20" s="1"/>
      <c r="C20" s="6" t="s">
        <v>7</v>
      </c>
      <c r="D20" s="91" t="s">
        <v>9</v>
      </c>
      <c r="E20" s="92"/>
      <c r="F20" s="92"/>
      <c r="G20" s="93"/>
      <c r="H20" s="1"/>
      <c r="I20" s="1"/>
    </row>
    <row r="21" spans="1:9" x14ac:dyDescent="0.25">
      <c r="A21" s="1"/>
      <c r="B21" s="1"/>
      <c r="C21" s="6" t="s">
        <v>88</v>
      </c>
      <c r="D21" s="82" t="s">
        <v>11</v>
      </c>
      <c r="E21" s="83"/>
      <c r="F21" s="83"/>
      <c r="G21" s="84"/>
      <c r="H21" s="1"/>
      <c r="I21" s="1"/>
    </row>
    <row r="22" spans="1:9" x14ac:dyDescent="0.25">
      <c r="A22" s="1"/>
      <c r="B22" s="1"/>
      <c r="C22" s="6" t="s">
        <v>73</v>
      </c>
      <c r="D22" s="76" t="s">
        <v>196</v>
      </c>
      <c r="E22" s="77"/>
      <c r="F22" s="77"/>
      <c r="G22" s="78"/>
      <c r="H22" s="1"/>
      <c r="I22" s="1"/>
    </row>
    <row r="23" spans="1:9" x14ac:dyDescent="0.25">
      <c r="A23" s="1"/>
      <c r="B23" s="1"/>
      <c r="C23" s="6" t="s">
        <v>8</v>
      </c>
      <c r="D23" s="76" t="s">
        <v>176</v>
      </c>
      <c r="E23" s="77"/>
      <c r="F23" s="77"/>
      <c r="G23" s="78"/>
      <c r="H23" s="1"/>
      <c r="I23" s="1"/>
    </row>
    <row r="24" spans="1:9" x14ac:dyDescent="0.25">
      <c r="A24" s="1"/>
      <c r="B24" s="1"/>
      <c r="C24" s="6" t="s">
        <v>172</v>
      </c>
      <c r="D24" s="76" t="s">
        <v>163</v>
      </c>
      <c r="E24" s="77"/>
      <c r="F24" s="77"/>
      <c r="G24" s="78"/>
      <c r="H24" s="1"/>
      <c r="I24" s="1"/>
    </row>
    <row r="25" spans="1:9" x14ac:dyDescent="0.25">
      <c r="A25" s="1"/>
      <c r="B25" s="1"/>
      <c r="C25" s="6" t="s">
        <v>173</v>
      </c>
      <c r="D25" s="76" t="s">
        <v>74</v>
      </c>
      <c r="E25" s="77"/>
      <c r="F25" s="77"/>
      <c r="G25" s="78"/>
      <c r="H25" s="1"/>
      <c r="I25" s="1"/>
    </row>
    <row r="26" spans="1:9" x14ac:dyDescent="0.25">
      <c r="A26" s="1"/>
      <c r="B26" s="1"/>
      <c r="C26" s="6" t="s">
        <v>174</v>
      </c>
      <c r="D26" s="76" t="s">
        <v>75</v>
      </c>
      <c r="E26" s="77"/>
      <c r="F26" s="77"/>
      <c r="G26" s="78"/>
      <c r="H26" s="1"/>
      <c r="I26" s="1"/>
    </row>
    <row r="27" spans="1:9" x14ac:dyDescent="0.25">
      <c r="A27" s="1"/>
      <c r="B27" s="1"/>
      <c r="C27" s="6" t="s">
        <v>89</v>
      </c>
      <c r="D27" s="76" t="s">
        <v>103</v>
      </c>
      <c r="E27" s="77"/>
      <c r="F27" s="77"/>
      <c r="G27" s="78"/>
      <c r="H27" s="1"/>
      <c r="I27" s="1"/>
    </row>
    <row r="28" spans="1:9" x14ac:dyDescent="0.25">
      <c r="A28" s="1"/>
      <c r="B28" s="1"/>
      <c r="C28" s="6" t="s">
        <v>83</v>
      </c>
      <c r="D28" s="76" t="s">
        <v>32</v>
      </c>
      <c r="E28" s="77"/>
      <c r="F28" s="77"/>
      <c r="G28" s="78"/>
      <c r="H28" s="1"/>
      <c r="I28" s="1"/>
    </row>
    <row r="29" spans="1:9" x14ac:dyDescent="0.25">
      <c r="A29" s="1"/>
      <c r="B29" s="1"/>
      <c r="C29" s="6" t="s">
        <v>175</v>
      </c>
      <c r="D29" s="79" t="s">
        <v>84</v>
      </c>
      <c r="E29" s="80"/>
      <c r="F29" s="80"/>
      <c r="G29" s="8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wucW4g70c40Z6z2TDm11f4KEegSaPZ1A+IGwaN2VHfZrpEMyPKnRd/dABbBrHPK7e5ynNwvSm35iZNdkUIAKXw==" saltValue="E6Z9EEwEL6jGMIkr8Biq+g=="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4"/>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4" t="s">
        <v>92</v>
      </c>
      <c r="C3" s="94"/>
      <c r="D3" s="94"/>
      <c r="E3" s="1"/>
      <c r="F3" s="1"/>
    </row>
    <row r="4" spans="1:6" ht="15" customHeight="1" x14ac:dyDescent="0.25">
      <c r="A4" s="1"/>
      <c r="B4" s="94"/>
      <c r="C4" s="94"/>
      <c r="D4" s="9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8" t="s">
        <v>226</v>
      </c>
      <c r="C8" s="99"/>
      <c r="D8" s="100"/>
      <c r="E8" s="1"/>
      <c r="F8" s="1"/>
    </row>
    <row r="9" spans="1:6" ht="15" customHeight="1" x14ac:dyDescent="0.25">
      <c r="A9" s="1"/>
      <c r="B9" s="32" t="s">
        <v>28</v>
      </c>
      <c r="C9" s="11" t="s">
        <v>212</v>
      </c>
      <c r="D9" s="11"/>
      <c r="E9" s="1"/>
      <c r="F9" s="1"/>
    </row>
    <row r="10" spans="1:6" ht="15" customHeight="1" x14ac:dyDescent="0.25">
      <c r="A10" s="1"/>
      <c r="B10" s="65" t="s">
        <v>244</v>
      </c>
      <c r="C10" s="9">
        <v>52522212</v>
      </c>
      <c r="D10" s="14" t="s">
        <v>3</v>
      </c>
      <c r="E10" s="1"/>
      <c r="F10" s="1"/>
    </row>
    <row r="11" spans="1:6" x14ac:dyDescent="0.25">
      <c r="A11" s="1"/>
      <c r="B11" s="65" t="s">
        <v>245</v>
      </c>
      <c r="C11" s="9">
        <v>274844</v>
      </c>
      <c r="D11" s="14" t="s">
        <v>3</v>
      </c>
      <c r="E11" s="1"/>
      <c r="F11" s="1"/>
    </row>
    <row r="12" spans="1:6" ht="26.25" x14ac:dyDescent="0.25">
      <c r="A12" s="1"/>
      <c r="B12" s="54" t="s">
        <v>246</v>
      </c>
      <c r="C12" s="9">
        <v>1231709</v>
      </c>
      <c r="D12" s="14" t="s">
        <v>3</v>
      </c>
      <c r="E12" s="1"/>
      <c r="F12" s="1"/>
    </row>
    <row r="13" spans="1:6" x14ac:dyDescent="0.25">
      <c r="A13" s="1"/>
      <c r="B13" s="65" t="s">
        <v>247</v>
      </c>
      <c r="C13" s="9">
        <v>171364</v>
      </c>
      <c r="D13" s="14" t="s">
        <v>3</v>
      </c>
      <c r="E13" s="1"/>
      <c r="F13" s="1"/>
    </row>
    <row r="14" spans="1:6" x14ac:dyDescent="0.25">
      <c r="A14" s="1"/>
      <c r="B14" s="65" t="s">
        <v>248</v>
      </c>
      <c r="C14" s="9">
        <v>240804.32</v>
      </c>
      <c r="D14" s="14" t="s">
        <v>3</v>
      </c>
      <c r="E14" s="1"/>
      <c r="F14" s="1"/>
    </row>
    <row r="15" spans="1:6" ht="26.25" x14ac:dyDescent="0.25">
      <c r="A15" s="1"/>
      <c r="B15" s="54" t="s">
        <v>249</v>
      </c>
      <c r="C15" s="9">
        <v>4285</v>
      </c>
      <c r="D15" s="14" t="s">
        <v>3</v>
      </c>
      <c r="E15" s="1"/>
      <c r="F15" s="1"/>
    </row>
    <row r="16" spans="1:6" ht="26.25" x14ac:dyDescent="0.25">
      <c r="A16" s="1"/>
      <c r="B16" s="54" t="s">
        <v>250</v>
      </c>
      <c r="C16" s="9">
        <v>6102877</v>
      </c>
      <c r="D16" s="14" t="s">
        <v>3</v>
      </c>
      <c r="E16" s="1"/>
      <c r="F16" s="1"/>
    </row>
    <row r="17" spans="1:6" x14ac:dyDescent="0.25">
      <c r="A17" s="1"/>
      <c r="B17" s="65"/>
      <c r="C17" s="9"/>
      <c r="D17" s="14" t="s">
        <v>3</v>
      </c>
      <c r="E17" s="1"/>
      <c r="F17" s="1"/>
    </row>
    <row r="18" spans="1:6" x14ac:dyDescent="0.25">
      <c r="A18" s="1"/>
      <c r="B18" s="65"/>
      <c r="C18" s="9"/>
      <c r="D18" s="14" t="s">
        <v>3</v>
      </c>
      <c r="E18" s="1"/>
      <c r="F18" s="1"/>
    </row>
    <row r="19" spans="1:6" x14ac:dyDescent="0.25">
      <c r="A19" s="1"/>
      <c r="B19" s="51" t="s">
        <v>213</v>
      </c>
      <c r="C19" s="12">
        <f>SUM(C10:C18)</f>
        <v>60548095.32</v>
      </c>
      <c r="D19" s="13" t="s">
        <v>3</v>
      </c>
      <c r="E19" s="1"/>
      <c r="F19" s="1"/>
    </row>
    <row r="20" spans="1:6" x14ac:dyDescent="0.25">
      <c r="A20" s="1"/>
      <c r="B20" s="51" t="s">
        <v>214</v>
      </c>
      <c r="C20" s="12">
        <f>C19*(1+'Fane 13. Nøgletal'!C16)^2</f>
        <v>70727964.240741968</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44"/>
      <c r="B49" s="44"/>
      <c r="C49" s="44"/>
      <c r="D49" s="44"/>
      <c r="E49" s="44"/>
      <c r="F49" s="44"/>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sheetData>
  <sheetProtection algorithmName="SHA-512" hashValue="rVX6wrPlDmBm+/lHXIyQivMQ5ZNO/0OB8v95iTF7B9v+iuNEI5e3vuggyM7IAUVMw2aGhhjjQWoZqogsCQXqcA==" saltValue="oeoWmb2GDWIT9taBBgD5l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6"/>
  <sheetViews>
    <sheetView showGridLines="0" view="pageLayout" zoomScale="86" zoomScaleNormal="100" zoomScalePageLayoutView="86"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7" t="s">
        <v>227</v>
      </c>
      <c r="C3" s="97"/>
      <c r="D3" s="97"/>
      <c r="E3" s="97"/>
      <c r="F3" s="97"/>
      <c r="G3" s="1"/>
    </row>
    <row r="4" spans="1:7" ht="15" customHeight="1" x14ac:dyDescent="0.25">
      <c r="A4" s="1"/>
      <c r="B4" s="97"/>
      <c r="C4" s="97"/>
      <c r="D4" s="97"/>
      <c r="E4" s="97"/>
      <c r="F4" s="97"/>
      <c r="G4" s="1"/>
    </row>
    <row r="5" spans="1:7" ht="15" customHeight="1" x14ac:dyDescent="0.25">
      <c r="A5" s="1"/>
      <c r="B5" s="61"/>
      <c r="C5" s="61"/>
      <c r="D5" s="61"/>
      <c r="E5" s="61"/>
      <c r="F5" s="61"/>
      <c r="G5" s="1"/>
    </row>
    <row r="6" spans="1:7" ht="15" customHeight="1" x14ac:dyDescent="0.25">
      <c r="A6" s="1"/>
      <c r="B6" s="61"/>
      <c r="C6" s="61"/>
      <c r="D6" s="61"/>
      <c r="E6" s="61"/>
      <c r="F6" s="61"/>
      <c r="G6" s="1"/>
    </row>
    <row r="7" spans="1:7" x14ac:dyDescent="0.25">
      <c r="A7" s="1"/>
      <c r="B7" s="1"/>
      <c r="C7" s="1"/>
      <c r="D7" s="1"/>
      <c r="E7" s="1"/>
      <c r="F7" s="1"/>
      <c r="G7" s="1"/>
    </row>
    <row r="8" spans="1:7" x14ac:dyDescent="0.25">
      <c r="A8" s="1"/>
      <c r="B8" s="98" t="s">
        <v>252</v>
      </c>
      <c r="C8" s="99"/>
      <c r="D8" s="99"/>
      <c r="E8" s="99"/>
      <c r="F8" s="100"/>
      <c r="G8" s="1"/>
    </row>
    <row r="9" spans="1:7" x14ac:dyDescent="0.25">
      <c r="A9" s="1"/>
      <c r="B9" s="101" t="s">
        <v>253</v>
      </c>
      <c r="C9" s="102"/>
      <c r="D9" s="103"/>
      <c r="E9" s="28">
        <v>17401801.787808031</v>
      </c>
      <c r="F9" s="14" t="s">
        <v>3</v>
      </c>
      <c r="G9" s="1"/>
    </row>
    <row r="10" spans="1:7" x14ac:dyDescent="0.25">
      <c r="A10" s="1"/>
      <c r="B10" s="51"/>
      <c r="C10" s="52"/>
      <c r="D10" s="52"/>
      <c r="E10" s="52"/>
      <c r="F10" s="19"/>
      <c r="G10" s="1"/>
    </row>
    <row r="11" spans="1:7" ht="52.5" customHeight="1" x14ac:dyDescent="0.25">
      <c r="A11" s="1"/>
      <c r="B11" s="116" t="s">
        <v>254</v>
      </c>
      <c r="C11" s="117"/>
      <c r="D11" s="117"/>
      <c r="E11" s="117"/>
      <c r="F11" s="118"/>
      <c r="G11" s="1"/>
    </row>
    <row r="12" spans="1:7" x14ac:dyDescent="0.25">
      <c r="A12" s="1"/>
      <c r="B12" s="1"/>
      <c r="C12" s="1"/>
      <c r="D12" s="1"/>
      <c r="E12" s="1"/>
      <c r="F12" s="1"/>
      <c r="G12" s="1"/>
    </row>
    <row r="13" spans="1:7" x14ac:dyDescent="0.25">
      <c r="A13" s="1"/>
      <c r="B13" s="98" t="s">
        <v>140</v>
      </c>
      <c r="C13" s="99"/>
      <c r="D13" s="99"/>
      <c r="E13" s="99"/>
      <c r="F13" s="100"/>
      <c r="G13" s="1"/>
    </row>
    <row r="14" spans="1:7" x14ac:dyDescent="0.25">
      <c r="A14" s="1"/>
      <c r="B14" s="101" t="s">
        <v>255</v>
      </c>
      <c r="C14" s="102"/>
      <c r="D14" s="103"/>
      <c r="E14" s="9">
        <v>0</v>
      </c>
      <c r="F14" s="14" t="s">
        <v>3</v>
      </c>
      <c r="G14" s="1"/>
    </row>
    <row r="15" spans="1:7" x14ac:dyDescent="0.25">
      <c r="A15" s="1"/>
      <c r="B15" s="101" t="s">
        <v>256</v>
      </c>
      <c r="C15" s="102"/>
      <c r="D15" s="103"/>
      <c r="E15" s="9">
        <v>0</v>
      </c>
      <c r="F15" s="14" t="s">
        <v>3</v>
      </c>
      <c r="G15" s="1"/>
    </row>
    <row r="16" spans="1:7" x14ac:dyDescent="0.25">
      <c r="A16" s="1"/>
      <c r="B16" s="51"/>
      <c r="C16" s="52"/>
      <c r="D16" s="52"/>
      <c r="E16" s="52"/>
      <c r="F16" s="19"/>
      <c r="G16" s="1"/>
    </row>
    <row r="17" spans="1:7" ht="29.25" customHeight="1" x14ac:dyDescent="0.25">
      <c r="A17" s="1"/>
      <c r="B17" s="116" t="s">
        <v>257</v>
      </c>
      <c r="C17" s="117"/>
      <c r="D17" s="117"/>
      <c r="E17" s="117"/>
      <c r="F17" s="118"/>
      <c r="G17" s="1"/>
    </row>
    <row r="18" spans="1:7" x14ac:dyDescent="0.25">
      <c r="A18" s="1"/>
      <c r="B18" s="1"/>
      <c r="C18" s="1"/>
      <c r="D18" s="1"/>
      <c r="E18" s="1"/>
      <c r="F18" s="1"/>
      <c r="G18" s="1"/>
    </row>
    <row r="19" spans="1:7" x14ac:dyDescent="0.25">
      <c r="A19" s="1"/>
      <c r="B19" s="66" t="s">
        <v>258</v>
      </c>
      <c r="C19" s="67"/>
      <c r="D19" s="67"/>
      <c r="E19" s="67"/>
      <c r="F19" s="68"/>
      <c r="G19" s="1"/>
    </row>
    <row r="20" spans="1:7" x14ac:dyDescent="0.25">
      <c r="A20" s="1"/>
      <c r="B20" s="62" t="s">
        <v>259</v>
      </c>
      <c r="C20" s="63"/>
      <c r="D20" s="64"/>
      <c r="E20" s="9">
        <v>153289199.38461781</v>
      </c>
      <c r="F20" s="14" t="s">
        <v>3</v>
      </c>
      <c r="G20" s="1"/>
    </row>
    <row r="21" spans="1:7" x14ac:dyDescent="0.25">
      <c r="A21" s="1"/>
      <c r="B21" s="62" t="s">
        <v>260</v>
      </c>
      <c r="C21" s="63"/>
      <c r="D21" s="64"/>
      <c r="E21" s="9">
        <v>135960436</v>
      </c>
      <c r="F21" s="14" t="s">
        <v>3</v>
      </c>
      <c r="G21" s="1"/>
    </row>
    <row r="22" spans="1:7" x14ac:dyDescent="0.25">
      <c r="A22" s="1"/>
      <c r="B22" s="62" t="s">
        <v>29</v>
      </c>
      <c r="C22" s="63"/>
      <c r="D22" s="64"/>
      <c r="E22" s="9">
        <v>50000</v>
      </c>
      <c r="F22" s="14" t="s">
        <v>3</v>
      </c>
      <c r="G22" s="1"/>
    </row>
    <row r="23" spans="1:7" x14ac:dyDescent="0.25">
      <c r="A23" s="1"/>
      <c r="B23" s="70" t="s">
        <v>261</v>
      </c>
      <c r="C23" s="71"/>
      <c r="D23" s="72"/>
      <c r="E23" s="10">
        <f>E20-(E21-E22)</f>
        <v>17378763.384617805</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98" t="s">
        <v>262</v>
      </c>
      <c r="C26" s="99"/>
      <c r="D26" s="99"/>
      <c r="E26" s="99"/>
      <c r="F26" s="100"/>
      <c r="G26" s="1"/>
    </row>
    <row r="27" spans="1:7" x14ac:dyDescent="0.25">
      <c r="A27" s="1"/>
      <c r="B27" s="123" t="s">
        <v>263</v>
      </c>
      <c r="C27" s="124"/>
      <c r="D27" s="125"/>
      <c r="E27" s="58">
        <f>IF(AND(E15&lt;0,E23&gt;0,ABS(SUM(E14:E15))&lt;E23),ABS(E14),IF(AND(E15&lt;0,E23&gt;0,ABS(SUM(E14:E15))&gt;E23),SUM(E14,E23),0))</f>
        <v>0</v>
      </c>
      <c r="F27" s="17" t="s">
        <v>3</v>
      </c>
      <c r="G27" s="1"/>
    </row>
    <row r="28" spans="1:7" x14ac:dyDescent="0.25">
      <c r="A28" s="1"/>
      <c r="B28" s="98"/>
      <c r="C28" s="99"/>
      <c r="D28" s="99"/>
      <c r="E28" s="99"/>
      <c r="F28" s="100"/>
      <c r="G28" s="1"/>
    </row>
    <row r="29" spans="1:7" x14ac:dyDescent="0.25">
      <c r="A29" s="1"/>
      <c r="B29" s="1"/>
      <c r="C29" s="1"/>
      <c r="D29" s="1"/>
      <c r="E29" s="1"/>
      <c r="F29" s="1"/>
      <c r="G29" s="1"/>
    </row>
    <row r="30" spans="1:7" x14ac:dyDescent="0.25">
      <c r="A30" s="1"/>
      <c r="B30" s="98" t="s">
        <v>264</v>
      </c>
      <c r="C30" s="99"/>
      <c r="D30" s="99"/>
      <c r="E30" s="99"/>
      <c r="F30" s="100"/>
      <c r="G30" s="1"/>
    </row>
    <row r="31" spans="1:7" x14ac:dyDescent="0.25">
      <c r="A31" s="1"/>
      <c r="B31" s="126" t="s">
        <v>117</v>
      </c>
      <c r="C31" s="127"/>
      <c r="D31" s="128"/>
      <c r="E31" s="59">
        <f>IF(AND(E9&gt;0,(E9+E23)&gt;0),0,IF(AND(E9&gt;0,(E9+E23)&lt;0),(E9+E23),IF(AND(E9&lt;0,E23&lt;0),E23,0)))</f>
        <v>0</v>
      </c>
      <c r="F31" s="14" t="s">
        <v>3</v>
      </c>
      <c r="G31" s="1"/>
    </row>
    <row r="32" spans="1:7" x14ac:dyDescent="0.25">
      <c r="A32" s="1"/>
      <c r="B32" s="126" t="s">
        <v>85</v>
      </c>
      <c r="C32" s="127"/>
      <c r="D32" s="128"/>
      <c r="E32" s="9">
        <v>2</v>
      </c>
      <c r="F32" s="14" t="s">
        <v>18</v>
      </c>
      <c r="G32" s="1"/>
    </row>
    <row r="33" spans="1:7" x14ac:dyDescent="0.25">
      <c r="A33" s="1"/>
      <c r="B33" s="119" t="s">
        <v>116</v>
      </c>
      <c r="C33" s="119"/>
      <c r="D33" s="119"/>
      <c r="E33" s="58">
        <f>E31/E32</f>
        <v>0</v>
      </c>
      <c r="F33" s="17" t="s">
        <v>3</v>
      </c>
      <c r="G33" s="1"/>
    </row>
    <row r="34" spans="1:7" x14ac:dyDescent="0.25">
      <c r="A34" s="1"/>
      <c r="B34" s="120"/>
      <c r="C34" s="121"/>
      <c r="D34" s="121"/>
      <c r="E34" s="121"/>
      <c r="F34" s="12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Zacy6DNrCqZt0ooEcMt3K1Pur6kl303FZZkYfpgaq8ApIikUO83f+AsxKyqltiKbRImMEqT0fzA1Ok+xevZuTQ==" saltValue="CXCg5IJsoEvu73+QyHk5Ag==" spinCount="100000" sheet="1" objects="1" scenarios="1"/>
  <mergeCells count="16">
    <mergeCell ref="B33:D33"/>
    <mergeCell ref="B34:F34"/>
    <mergeCell ref="B14:D14"/>
    <mergeCell ref="B15:D15"/>
    <mergeCell ref="B17:F17"/>
    <mergeCell ref="B26:F26"/>
    <mergeCell ref="B27:D27"/>
    <mergeCell ref="B31:D31"/>
    <mergeCell ref="B28:F28"/>
    <mergeCell ref="B30:F30"/>
    <mergeCell ref="B32:D32"/>
    <mergeCell ref="B13:F13"/>
    <mergeCell ref="B3:F4"/>
    <mergeCell ref="B8:F8"/>
    <mergeCell ref="B9:D9"/>
    <mergeCell ref="B11:F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4" t="s">
        <v>183</v>
      </c>
      <c r="C3" s="94"/>
      <c r="D3" s="94"/>
      <c r="E3" s="94"/>
      <c r="F3" s="94"/>
      <c r="G3" s="94"/>
      <c r="H3" s="94"/>
      <c r="I3" s="1"/>
    </row>
    <row r="4" spans="1:9" ht="15" customHeight="1" x14ac:dyDescent="0.25">
      <c r="A4" s="1"/>
      <c r="B4" s="94"/>
      <c r="C4" s="94"/>
      <c r="D4" s="94"/>
      <c r="E4" s="94"/>
      <c r="F4" s="94"/>
      <c r="G4" s="94"/>
      <c r="H4" s="9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8" t="s">
        <v>184</v>
      </c>
      <c r="C8" s="99"/>
      <c r="D8" s="99"/>
      <c r="E8" s="99"/>
      <c r="F8" s="99"/>
      <c r="G8" s="99"/>
      <c r="H8" s="100"/>
      <c r="I8" s="1"/>
    </row>
    <row r="9" spans="1:9" ht="15" customHeight="1" x14ac:dyDescent="0.25">
      <c r="A9" s="1"/>
      <c r="B9" s="129" t="s">
        <v>234</v>
      </c>
      <c r="C9" s="130"/>
      <c r="D9" s="130"/>
      <c r="E9" s="130"/>
      <c r="F9" s="130"/>
      <c r="G9" s="130"/>
      <c r="H9" s="131"/>
      <c r="I9" s="1"/>
    </row>
    <row r="10" spans="1:9" x14ac:dyDescent="0.25">
      <c r="A10" s="1"/>
      <c r="B10" s="132" t="s">
        <v>185</v>
      </c>
      <c r="C10" s="133"/>
      <c r="D10" s="133"/>
      <c r="E10" s="133"/>
      <c r="F10" s="134"/>
      <c r="G10" s="45"/>
      <c r="H10" s="9" t="s">
        <v>3</v>
      </c>
      <c r="I10" s="1"/>
    </row>
    <row r="11" spans="1:9" x14ac:dyDescent="0.25">
      <c r="A11" s="1"/>
      <c r="B11" s="132" t="s">
        <v>186</v>
      </c>
      <c r="C11" s="133"/>
      <c r="D11" s="133"/>
      <c r="E11" s="133"/>
      <c r="F11" s="134"/>
      <c r="G11" s="45"/>
      <c r="H11" s="9" t="s">
        <v>3</v>
      </c>
      <c r="I11" s="1"/>
    </row>
    <row r="12" spans="1:9" x14ac:dyDescent="0.25">
      <c r="A12" s="1"/>
      <c r="B12" s="132" t="s">
        <v>187</v>
      </c>
      <c r="C12" s="133"/>
      <c r="D12" s="133"/>
      <c r="E12" s="133"/>
      <c r="F12" s="134"/>
      <c r="G12" s="9"/>
      <c r="H12" s="9" t="s">
        <v>3</v>
      </c>
      <c r="I12" s="1"/>
    </row>
    <row r="13" spans="1:9" x14ac:dyDescent="0.25">
      <c r="A13" s="1"/>
      <c r="B13" s="132" t="s">
        <v>188</v>
      </c>
      <c r="C13" s="133"/>
      <c r="D13" s="133"/>
      <c r="E13" s="133"/>
      <c r="F13" s="134"/>
      <c r="G13" s="9"/>
      <c r="H13" s="9" t="s">
        <v>3</v>
      </c>
      <c r="I13" s="1"/>
    </row>
    <row r="14" spans="1:9" x14ac:dyDescent="0.25">
      <c r="A14" s="1"/>
      <c r="B14" s="132" t="s">
        <v>189</v>
      </c>
      <c r="C14" s="133"/>
      <c r="D14" s="133"/>
      <c r="E14" s="133"/>
      <c r="F14" s="134"/>
      <c r="G14" s="9"/>
      <c r="H14" s="9" t="s">
        <v>3</v>
      </c>
      <c r="I14" s="1"/>
    </row>
    <row r="15" spans="1:9" x14ac:dyDescent="0.25">
      <c r="A15" s="1"/>
      <c r="B15" s="132" t="s">
        <v>190</v>
      </c>
      <c r="C15" s="133"/>
      <c r="D15" s="133"/>
      <c r="E15" s="133"/>
      <c r="F15" s="134"/>
      <c r="G15" s="9"/>
      <c r="H15" s="9" t="s">
        <v>3</v>
      </c>
      <c r="I15" s="1"/>
    </row>
    <row r="16" spans="1:9" x14ac:dyDescent="0.25">
      <c r="A16" s="1"/>
      <c r="B16" s="132" t="s">
        <v>191</v>
      </c>
      <c r="C16" s="133"/>
      <c r="D16" s="133"/>
      <c r="E16" s="133"/>
      <c r="F16" s="134"/>
      <c r="G16" s="9"/>
      <c r="H16" s="9" t="s">
        <v>3</v>
      </c>
      <c r="I16" s="1"/>
    </row>
    <row r="17" spans="1:9" x14ac:dyDescent="0.25">
      <c r="A17" s="1"/>
      <c r="B17" s="132" t="s">
        <v>192</v>
      </c>
      <c r="C17" s="133"/>
      <c r="D17" s="133"/>
      <c r="E17" s="133"/>
      <c r="F17" s="134"/>
      <c r="G17" s="9"/>
      <c r="H17" s="9" t="s">
        <v>3</v>
      </c>
      <c r="I17" s="1"/>
    </row>
    <row r="18" spans="1:9" x14ac:dyDescent="0.25">
      <c r="A18" s="1"/>
      <c r="B18" s="98" t="s">
        <v>193</v>
      </c>
      <c r="C18" s="99"/>
      <c r="D18" s="99"/>
      <c r="E18" s="99"/>
      <c r="F18" s="10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Ql0RzErQ+wsFlLqQe1VaPGThS20hjM5AuHIw6g+MydQ+Im+LGVwGV2IDMTIYcEri2mh8Q29wNCEjzuslG0lKrQ==" saltValue="xnO5SNba7YR6UyiAnkLJA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177</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155</v>
      </c>
      <c r="C8" s="99"/>
      <c r="D8" s="99"/>
      <c r="E8" s="99"/>
      <c r="F8" s="99"/>
      <c r="G8" s="99"/>
      <c r="H8" s="99"/>
      <c r="I8" s="99"/>
      <c r="J8" s="99"/>
      <c r="K8" s="100"/>
      <c r="L8" s="1"/>
    </row>
    <row r="9" spans="1:12" ht="39.75" customHeight="1" x14ac:dyDescent="0.25">
      <c r="A9" s="1"/>
      <c r="B9" s="18" t="s">
        <v>0</v>
      </c>
      <c r="C9" s="18" t="s">
        <v>1</v>
      </c>
      <c r="D9" s="135" t="s">
        <v>170</v>
      </c>
      <c r="E9" s="136"/>
      <c r="F9" s="135" t="s">
        <v>2</v>
      </c>
      <c r="G9" s="136"/>
      <c r="H9" s="135" t="s">
        <v>171</v>
      </c>
      <c r="I9" s="136"/>
      <c r="J9" s="135" t="s">
        <v>26</v>
      </c>
      <c r="K9" s="136"/>
      <c r="L9" s="1"/>
    </row>
    <row r="10" spans="1:12" x14ac:dyDescent="0.25">
      <c r="A10" s="1"/>
      <c r="B10" s="75" t="s">
        <v>238</v>
      </c>
      <c r="C10" s="31">
        <v>0</v>
      </c>
      <c r="D10" s="9">
        <v>0</v>
      </c>
      <c r="E10" s="14" t="s">
        <v>3</v>
      </c>
      <c r="F10" s="55">
        <f>IFERROR(D10/C10,0)</f>
        <v>0</v>
      </c>
      <c r="G10" s="14" t="s">
        <v>3</v>
      </c>
      <c r="H10" s="9">
        <v>0</v>
      </c>
      <c r="I10" s="14" t="s">
        <v>3</v>
      </c>
      <c r="J10" s="9">
        <v>0</v>
      </c>
      <c r="K10" s="14" t="s">
        <v>3</v>
      </c>
      <c r="L10" s="1"/>
    </row>
    <row r="11" spans="1:12" x14ac:dyDescent="0.25">
      <c r="A11" s="1"/>
      <c r="B11" s="51" t="s">
        <v>215</v>
      </c>
      <c r="C11" s="52"/>
      <c r="D11" s="19"/>
      <c r="E11" s="68"/>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50u2kGefkUWnpk7KG9fYlsIuvHtp2FbmSr4J0gSYM+NwmRQpm/YsApxl/3pIhefzdP/2GmojCvZolF8mHkc9ww==" saltValue="s7/gIIzyzUZafmR0YkL5w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178</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3" t="s">
        <v>15</v>
      </c>
      <c r="C9" s="73" t="s">
        <v>10</v>
      </c>
      <c r="D9" s="74"/>
      <c r="E9" s="73"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243</v>
      </c>
      <c r="C11" s="21">
        <v>267000</v>
      </c>
      <c r="D11" s="14" t="s">
        <v>3</v>
      </c>
      <c r="E11" s="9">
        <v>171823</v>
      </c>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1" t="s">
        <v>151</v>
      </c>
      <c r="C17" s="12">
        <f>SUM(C10:C16)</f>
        <v>267000</v>
      </c>
      <c r="D17" s="13" t="s">
        <v>3</v>
      </c>
      <c r="E17" s="12">
        <f>SUM(E10:E16)</f>
        <v>171823</v>
      </c>
      <c r="F17" s="13" t="s">
        <v>3</v>
      </c>
      <c r="G17" s="1"/>
    </row>
    <row r="18" spans="1:7" x14ac:dyDescent="0.25">
      <c r="A18" s="1"/>
      <c r="B18" s="51" t="s">
        <v>209</v>
      </c>
      <c r="C18" s="12">
        <f>C17*(1+'Fane 13. Nøgletal'!C16)</f>
        <v>288573.59999999998</v>
      </c>
      <c r="D18" s="13" t="s">
        <v>3</v>
      </c>
      <c r="E18" s="12">
        <f>E17*(1+'Fane 13. Nøgletal'!C16)</f>
        <v>185706.2984</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azQWoYP+bpBSTY4JQpoBRH7LNaET7gimSwYvN+7TAnGGvDXZIe4L4l8OT9F5bonFwluX3MIgAJBA4np7vQdLhQ==" saltValue="FVMUwV2q7AKI18QtbOtzk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179</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98" t="s">
        <v>217</v>
      </c>
      <c r="C9" s="99"/>
      <c r="D9" s="99"/>
      <c r="E9" s="99"/>
      <c r="F9" s="100"/>
      <c r="G9" s="1"/>
    </row>
    <row r="10" spans="1:7" ht="26.25" x14ac:dyDescent="0.25">
      <c r="A10" s="1"/>
      <c r="B10" s="73" t="s">
        <v>15</v>
      </c>
      <c r="C10" s="73" t="s">
        <v>10</v>
      </c>
      <c r="D10" s="74"/>
      <c r="E10" s="73" t="s">
        <v>27</v>
      </c>
      <c r="F10" s="30"/>
      <c r="G10" s="1"/>
    </row>
    <row r="11" spans="1:7" x14ac:dyDescent="0.25">
      <c r="A11" s="1"/>
      <c r="B11" s="23" t="s">
        <v>251</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0</v>
      </c>
      <c r="D14" s="13" t="s">
        <v>3</v>
      </c>
      <c r="E14" s="12">
        <f>SUM(E11:E13)</f>
        <v>0</v>
      </c>
      <c r="F14" s="13" t="s">
        <v>3</v>
      </c>
      <c r="G14" s="1"/>
    </row>
    <row r="15" spans="1:7" x14ac:dyDescent="0.25">
      <c r="A15" s="1"/>
      <c r="B15" s="51"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7w9BesoOHgE3RC3rfZTppNVQu+TwuBLgWE4iu/TY8wk3NOQO9fFvbwxAJgbrfCFNhcK/lJ3IWQbpb+iIQMI5Hg==" saltValue="y0fUCvH8TTIQ7LloqDMzMA=="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180</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104</v>
      </c>
      <c r="C8" s="99"/>
      <c r="D8" s="99"/>
      <c r="E8" s="99"/>
      <c r="F8" s="100"/>
      <c r="G8" s="1"/>
    </row>
    <row r="9" spans="1:7" ht="15" customHeight="1" x14ac:dyDescent="0.25">
      <c r="A9" s="1"/>
      <c r="B9" s="53" t="s">
        <v>105</v>
      </c>
      <c r="C9" s="129" t="s">
        <v>10</v>
      </c>
      <c r="D9" s="131"/>
      <c r="E9" s="129" t="s">
        <v>27</v>
      </c>
      <c r="F9" s="131"/>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9eqFGyStJFasKczrPgjnz5RRBgf1jgITf/CWtXN1CBjc9dZmZuovs3SiFs7gvyoiRkPkZtSQlkrhgKWzttjDbg==" saltValue="xA/Ge5AiV56vwxjBiM4U+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181</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98" t="s">
        <v>237</v>
      </c>
      <c r="C10" s="99"/>
      <c r="D10" s="99"/>
      <c r="E10" s="99"/>
      <c r="F10" s="100"/>
      <c r="G10" s="1"/>
    </row>
    <row r="11" spans="1:7" ht="26.25" x14ac:dyDescent="0.25">
      <c r="A11" s="1"/>
      <c r="B11" s="53" t="s">
        <v>16</v>
      </c>
      <c r="C11" s="53" t="s">
        <v>10</v>
      </c>
      <c r="D11" s="30"/>
      <c r="E11" s="53" t="s">
        <v>27</v>
      </c>
      <c r="F11" s="30"/>
      <c r="G11" s="1"/>
    </row>
    <row r="12" spans="1:7" x14ac:dyDescent="0.25">
      <c r="A12" s="1"/>
      <c r="B12" s="57" t="s">
        <v>242</v>
      </c>
      <c r="C12" s="9">
        <v>0</v>
      </c>
      <c r="D12" s="14" t="s">
        <v>3</v>
      </c>
      <c r="E12" s="9">
        <v>0</v>
      </c>
      <c r="F12" s="14" t="s">
        <v>3</v>
      </c>
      <c r="G12" s="1"/>
    </row>
    <row r="13" spans="1:7" x14ac:dyDescent="0.25">
      <c r="A13" s="1"/>
      <c r="B13" s="51" t="s">
        <v>78</v>
      </c>
      <c r="C13" s="12">
        <f>SUM(C12:C12)</f>
        <v>0</v>
      </c>
      <c r="D13" s="13" t="s">
        <v>3</v>
      </c>
      <c r="E13" s="12">
        <f>SUM(E12:E12)</f>
        <v>0</v>
      </c>
      <c r="F13" s="13" t="s">
        <v>3</v>
      </c>
      <c r="G13" s="1"/>
    </row>
    <row r="14" spans="1:7" x14ac:dyDescent="0.25">
      <c r="A14" s="1"/>
      <c r="B14" s="51"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TOJbrJK7ZWOe3N5s87z+EF8zzNcIKQgtqZ0DrEXbTLwyJZLu71MOXR8wvKOizjWIq38Fn++hdspXt7u0kGnJw==" saltValue="/iVl4+Ptmjh9A9tB7aOu5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7" t="s">
        <v>182</v>
      </c>
      <c r="C3" s="97"/>
      <c r="D3" s="1"/>
    </row>
    <row r="4" spans="1:4" ht="25.5" customHeight="1" x14ac:dyDescent="0.25">
      <c r="A4" s="1"/>
      <c r="B4" s="97"/>
      <c r="C4" s="97"/>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65" t="s">
        <v>93</v>
      </c>
      <c r="C9" s="40">
        <v>1.2699999999999999E-2</v>
      </c>
      <c r="D9" s="1"/>
    </row>
    <row r="10" spans="1:4" x14ac:dyDescent="0.25">
      <c r="A10" s="1"/>
      <c r="B10" s="65" t="s">
        <v>21</v>
      </c>
      <c r="C10" s="40">
        <v>1.7500000000000002E-2</v>
      </c>
      <c r="D10" s="1"/>
    </row>
    <row r="11" spans="1:4" x14ac:dyDescent="0.25">
      <c r="A11" s="1"/>
      <c r="B11" s="65"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98"/>
      <c r="C17" s="100"/>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65" t="s">
        <v>95</v>
      </c>
      <c r="C21" s="42">
        <v>9.1000000000000004E-3</v>
      </c>
      <c r="D21" s="1"/>
    </row>
    <row r="22" spans="1:4" x14ac:dyDescent="0.25">
      <c r="A22" s="1"/>
      <c r="B22" s="65" t="s">
        <v>96</v>
      </c>
      <c r="C22" s="42">
        <v>1.77E-2</v>
      </c>
      <c r="D22" s="1"/>
    </row>
    <row r="23" spans="1:4" x14ac:dyDescent="0.25">
      <c r="A23" s="1"/>
      <c r="B23" s="65" t="s">
        <v>97</v>
      </c>
      <c r="C23" s="42">
        <v>8.6999999999999994E-3</v>
      </c>
      <c r="D23" s="1"/>
    </row>
    <row r="24" spans="1:4" x14ac:dyDescent="0.25">
      <c r="A24" s="1"/>
      <c r="B24" s="65" t="s">
        <v>98</v>
      </c>
      <c r="C24" s="42">
        <v>2.8400000000000002E-2</v>
      </c>
      <c r="D24" s="1"/>
    </row>
    <row r="25" spans="1:4" x14ac:dyDescent="0.25">
      <c r="A25" s="1"/>
      <c r="B25" s="65" t="s">
        <v>111</v>
      </c>
      <c r="C25" s="42">
        <v>2.75E-2</v>
      </c>
      <c r="D25" s="1"/>
    </row>
    <row r="26" spans="1:4" x14ac:dyDescent="0.25">
      <c r="A26" s="1"/>
      <c r="B26" s="65"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65"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BJR503KJf0bYjXccNdWHPzxNed9GPUrnIhJpInMNb/kOJa9N6ADUx0g6XHqP+KjKFw2UsNnUB4TV7FqU8pxCtg==" saltValue="eGwn2MDQHY5BstpYiqGCeQ=="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98891940.618464574</v>
      </c>
      <c r="D8" s="8" t="s">
        <v>3</v>
      </c>
      <c r="E8" s="1"/>
    </row>
    <row r="9" spans="1:5" ht="17.100000000000001" customHeight="1" x14ac:dyDescent="0.25">
      <c r="A9" s="1"/>
      <c r="B9" s="24" t="s">
        <v>33</v>
      </c>
      <c r="C9" s="7">
        <f>'Fane 10.1. Varige tillæg'!C18</f>
        <v>288573.59999999998</v>
      </c>
      <c r="D9" s="8" t="s">
        <v>3</v>
      </c>
      <c r="E9" s="1"/>
    </row>
    <row r="10" spans="1:5" ht="17.100000000000001" customHeight="1" x14ac:dyDescent="0.25">
      <c r="A10" s="1"/>
      <c r="B10" s="24" t="s">
        <v>34</v>
      </c>
      <c r="C10" s="9">
        <f>'Fane 10.1. Varige tillæg'!E18</f>
        <v>185706.2984</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3558874.9018080588</v>
      </c>
      <c r="D15" s="8" t="s">
        <v>3</v>
      </c>
      <c r="E15" s="1"/>
    </row>
    <row r="16" spans="1:5" ht="17.100000000000001" customHeight="1" x14ac:dyDescent="0.25">
      <c r="A16" s="1"/>
      <c r="B16" s="24" t="s">
        <v>9</v>
      </c>
      <c r="C16" s="9">
        <f>-SUM(C8,C9:C15)*'Fane 5. Individuelt eff. krav'!G9</f>
        <v>-2058501.9083734525</v>
      </c>
      <c r="D16" s="8" t="s">
        <v>3</v>
      </c>
      <c r="E16" s="1"/>
    </row>
    <row r="17" spans="1:5" ht="17.100000000000001" customHeight="1" x14ac:dyDescent="0.25">
      <c r="A17" s="1"/>
      <c r="B17" s="24" t="s">
        <v>22</v>
      </c>
      <c r="C17" s="9">
        <f>-'Fane 4.1. Gen. krav - drift'!G49</f>
        <v>-806687.07396280393</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0" t="s">
        <v>19</v>
      </c>
      <c r="C19" s="10">
        <f>SUM(C8:C18)</f>
        <v>100059906.43633637</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70727964.240741968</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0" t="s">
        <v>76</v>
      </c>
      <c r="C27" s="56">
        <f>SUM(C23:C26)</f>
        <v>0</v>
      </c>
      <c r="D27" s="11" t="s">
        <v>3</v>
      </c>
      <c r="E27" s="1"/>
    </row>
    <row r="28" spans="1:5" ht="15" customHeight="1" x14ac:dyDescent="0.25">
      <c r="A28" s="1"/>
      <c r="B28" s="26" t="s">
        <v>117</v>
      </c>
      <c r="C28" s="52"/>
      <c r="D28" s="19"/>
      <c r="E28" s="1"/>
    </row>
    <row r="29" spans="1:5" x14ac:dyDescent="0.25">
      <c r="A29" s="1"/>
      <c r="B29" s="69" t="s">
        <v>118</v>
      </c>
      <c r="C29" s="10">
        <f>'Fane 7. Kontrol af ØR2022'!E27</f>
        <v>0</v>
      </c>
      <c r="D29" s="11" t="s">
        <v>3</v>
      </c>
      <c r="E29" s="1"/>
    </row>
    <row r="30" spans="1:5" x14ac:dyDescent="0.25">
      <c r="A30" s="1"/>
      <c r="B30" s="26" t="s">
        <v>138</v>
      </c>
      <c r="C30" s="52"/>
      <c r="D30" s="19"/>
      <c r="E30" s="1"/>
    </row>
    <row r="31" spans="1:5" x14ac:dyDescent="0.25">
      <c r="A31" s="1"/>
      <c r="B31" s="69" t="s">
        <v>139</v>
      </c>
      <c r="C31" s="10">
        <f>'Fane 8. Skattesagen'!G13</f>
        <v>0</v>
      </c>
      <c r="D31" s="11" t="s">
        <v>3</v>
      </c>
      <c r="E31" s="1"/>
    </row>
    <row r="32" spans="1:5" x14ac:dyDescent="0.25">
      <c r="A32" s="1"/>
      <c r="B32" s="51" t="s">
        <v>126</v>
      </c>
      <c r="C32" s="33">
        <f>SUM(C19,C21,C27,C29,C31)</f>
        <v>170787870.67707834</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Pt6MeXdnHFh1w71ID2oMZ5HcyAUW1TpDMaf+I6v8RnJHL18qPMxX/QydLH9Hp/yVQPOWCHg0q0Aqwu2KI8Jg3A==" saltValue="SlrTo23gAuSRbfqwoLjDp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1.5703125" style="2" customWidth="1"/>
    <col min="3" max="3" width="12"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199</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100059906.43633637</v>
      </c>
      <c r="D8" s="8" t="s">
        <v>3</v>
      </c>
      <c r="E8" s="1"/>
    </row>
    <row r="9" spans="1:5" ht="15" customHeight="1" x14ac:dyDescent="0.25">
      <c r="A9" s="1"/>
      <c r="B9" s="29" t="s">
        <v>17</v>
      </c>
      <c r="C9" s="9">
        <f>SUM(C8:C8)*'Fane 13. Nøgletal'!C16</f>
        <v>8084840.4400559785</v>
      </c>
      <c r="D9" s="8" t="s">
        <v>3</v>
      </c>
      <c r="E9" s="1"/>
    </row>
    <row r="10" spans="1:5" ht="15" customHeight="1" x14ac:dyDescent="0.25">
      <c r="A10" s="1"/>
      <c r="B10" s="29" t="s">
        <v>9</v>
      </c>
      <c r="C10" s="9">
        <f>-SUM(C8:C9)*'Fane 5. Individuelt eff. krav'!G9</f>
        <v>-2162894.937527847</v>
      </c>
      <c r="D10" s="8" t="s">
        <v>3</v>
      </c>
      <c r="E10" s="1"/>
    </row>
    <row r="11" spans="1:5" ht="15" customHeight="1" x14ac:dyDescent="0.25">
      <c r="A11" s="1"/>
      <c r="B11" s="29" t="s">
        <v>22</v>
      </c>
      <c r="C11" s="9">
        <f>-'Fane 4.1. Gen. krav - drift'!G54</f>
        <v>-854430.04174821824</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105127421.89711627</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76442783.751393914</v>
      </c>
      <c r="D15" s="11" t="s">
        <v>3</v>
      </c>
      <c r="E15" s="1"/>
    </row>
    <row r="16" spans="1:5" x14ac:dyDescent="0.25">
      <c r="A16" s="1"/>
      <c r="B16" s="26" t="s">
        <v>117</v>
      </c>
      <c r="C16" s="52"/>
      <c r="D16" s="19"/>
      <c r="E16" s="1"/>
    </row>
    <row r="17" spans="1:5" ht="15" customHeight="1" x14ac:dyDescent="0.25">
      <c r="A17" s="1"/>
      <c r="B17" s="69" t="s">
        <v>118</v>
      </c>
      <c r="C17" s="10">
        <f>'Fane 7. Kontrol af ØR2022'!E33</f>
        <v>0</v>
      </c>
      <c r="D17" s="11" t="s">
        <v>3</v>
      </c>
      <c r="E17" s="1"/>
    </row>
    <row r="18" spans="1:5" x14ac:dyDescent="0.25">
      <c r="A18" s="1"/>
      <c r="B18" s="26" t="s">
        <v>138</v>
      </c>
      <c r="C18" s="52"/>
      <c r="D18" s="19"/>
      <c r="E18" s="1"/>
    </row>
    <row r="19" spans="1:5" x14ac:dyDescent="0.25">
      <c r="A19" s="1"/>
      <c r="B19" s="69" t="s">
        <v>139</v>
      </c>
      <c r="C19" s="10">
        <f>'Fane 8. Skattesagen'!G13</f>
        <v>0</v>
      </c>
      <c r="D19" s="11" t="s">
        <v>3</v>
      </c>
      <c r="E19" s="1"/>
    </row>
    <row r="20" spans="1:5" x14ac:dyDescent="0.25">
      <c r="A20" s="1"/>
      <c r="B20" s="51" t="s">
        <v>128</v>
      </c>
      <c r="C20" s="12">
        <f>SUM(C13,C15,C17,C19)</f>
        <v>181570205.64851019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DnkYpv6WIqwvM5oPBfpEIrvq4QhvIam0MDd6AIrJKnEdIw3uq4oP9b03xgNU8ZXJVFlba98dM0p0hBRbwqAkjQ==" saltValue="qi1hTmxdGTo3A81ZsH5T7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2.5703125" style="2" customWidth="1"/>
    <col min="3" max="3" width="11"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105127421.89711627</v>
      </c>
      <c r="D8" s="8" t="s">
        <v>3</v>
      </c>
      <c r="E8" s="1"/>
    </row>
    <row r="9" spans="1:5" ht="15" customHeight="1" x14ac:dyDescent="0.25">
      <c r="A9" s="1"/>
      <c r="B9" s="29" t="s">
        <v>17</v>
      </c>
      <c r="C9" s="9">
        <f>SUM(C8:C8)*'Fane 13. Nøgletal'!C16</f>
        <v>8494295.6892869938</v>
      </c>
      <c r="D9" s="8" t="s">
        <v>3</v>
      </c>
      <c r="E9" s="1"/>
    </row>
    <row r="10" spans="1:5" ht="15" customHeight="1" x14ac:dyDescent="0.25">
      <c r="A10" s="1"/>
      <c r="B10" s="29" t="s">
        <v>9</v>
      </c>
      <c r="C10" s="9">
        <f>-SUM(C8:C9)*'Fane 5. Individuelt eff. krav'!G9</f>
        <v>-2272434.3517280654</v>
      </c>
      <c r="D10" s="8" t="s">
        <v>3</v>
      </c>
      <c r="E10" s="1"/>
    </row>
    <row r="11" spans="1:5" ht="15" customHeight="1" x14ac:dyDescent="0.25">
      <c r="A11" s="1"/>
      <c r="B11" s="29" t="s">
        <v>22</v>
      </c>
      <c r="C11" s="9">
        <f>-'Fane 4.1. Gen. krav - drift'!G59</f>
        <v>-904998.62933904491</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110444284.60533616</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82619360.678506538</v>
      </c>
      <c r="D15" s="11" t="s">
        <v>3</v>
      </c>
      <c r="E15" s="1"/>
    </row>
    <row r="16" spans="1:5" x14ac:dyDescent="0.25">
      <c r="A16" s="1"/>
      <c r="B16" s="51" t="s">
        <v>117</v>
      </c>
      <c r="C16" s="52"/>
      <c r="D16" s="19"/>
      <c r="E16" s="1"/>
    </row>
    <row r="17" spans="1:5" x14ac:dyDescent="0.25">
      <c r="A17" s="1"/>
      <c r="B17" s="53" t="s">
        <v>118</v>
      </c>
      <c r="C17" s="10">
        <f>'Fane 7. Kontrol af ØR2022'!E33</f>
        <v>0</v>
      </c>
      <c r="D17" s="11" t="s">
        <v>3</v>
      </c>
      <c r="E17" s="1"/>
    </row>
    <row r="18" spans="1:5" ht="15" customHeight="1" x14ac:dyDescent="0.25">
      <c r="A18" s="1"/>
      <c r="B18" s="26" t="s">
        <v>138</v>
      </c>
      <c r="C18" s="52"/>
      <c r="D18" s="19"/>
      <c r="E18" s="1"/>
    </row>
    <row r="19" spans="1:5" ht="15" customHeight="1" x14ac:dyDescent="0.25">
      <c r="A19" s="1"/>
      <c r="B19" s="69" t="s">
        <v>139</v>
      </c>
      <c r="C19" s="10">
        <f>'Fane 8. Skattesagen'!G14</f>
        <v>0</v>
      </c>
      <c r="D19" s="11" t="s">
        <v>3</v>
      </c>
      <c r="E19" s="1"/>
    </row>
    <row r="20" spans="1:5" x14ac:dyDescent="0.25">
      <c r="A20" s="1"/>
      <c r="B20" s="51" t="s">
        <v>143</v>
      </c>
      <c r="C20" s="12">
        <f>SUM(C13,C15,C17,C19)</f>
        <v>193063645.28384268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Ykayxo1A6zFGZE2Jeqc13V0p9MSnojk1R6LK7i8eYtQelppu7yOE/PKR6Nd9mGAazgUCtghWajtDpjACq0sFyQ==" saltValue="oD5Y+X02FXjA9tGtQhKh6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1.140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204</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110444284.60533616</v>
      </c>
      <c r="D8" s="8" t="s">
        <v>3</v>
      </c>
      <c r="E8" s="1"/>
    </row>
    <row r="9" spans="1:5" ht="15" customHeight="1" x14ac:dyDescent="0.25">
      <c r="A9" s="1"/>
      <c r="B9" s="29" t="s">
        <v>17</v>
      </c>
      <c r="C9" s="9">
        <f>SUM(C8:C8)*'Fane 13. Nøgletal'!C16</f>
        <v>8923898.1961111613</v>
      </c>
      <c r="D9" s="8" t="s">
        <v>3</v>
      </c>
      <c r="E9" s="1"/>
    </row>
    <row r="10" spans="1:5" ht="15" customHeight="1" x14ac:dyDescent="0.25">
      <c r="A10" s="1"/>
      <c r="B10" s="29" t="s">
        <v>9</v>
      </c>
      <c r="C10" s="9">
        <f>-SUM(C8:C9)*'Fane 5. Individuelt eff. krav'!G9</f>
        <v>-2387363.6560289464</v>
      </c>
      <c r="D10" s="8" t="s">
        <v>3</v>
      </c>
      <c r="E10" s="1"/>
    </row>
    <row r="11" spans="1:5" ht="15" customHeight="1" x14ac:dyDescent="0.25">
      <c r="A11" s="1"/>
      <c r="B11" s="29" t="s">
        <v>22</v>
      </c>
      <c r="C11" s="9">
        <f>-'Fane 4.1. Gen. krav - drift'!G64</f>
        <v>-958560.0682178468</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116022259.07720053</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89295005.021329865</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69" t="s">
        <v>139</v>
      </c>
      <c r="C19" s="10">
        <f>'Fane 8. Skattesagen'!G15</f>
        <v>0</v>
      </c>
      <c r="D19" s="11" t="s">
        <v>3</v>
      </c>
      <c r="E19" s="1"/>
    </row>
    <row r="20" spans="1:5" x14ac:dyDescent="0.25">
      <c r="A20" s="1"/>
      <c r="B20" s="51" t="s">
        <v>205</v>
      </c>
      <c r="C20" s="12">
        <f>SUM(C13,C15,C17,C19)</f>
        <v>205317264.09853041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Y/+wTE7xV4omk/OQcIXESbg5ytJ3NvmkScPG2R8mgMKCD2QdFZpaxUuU0hrpLPxaFlai7ncVVfWVrjtONHELQ==" saltValue="+j+LSpwe84aZ3bUmxAu1Q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7" t="s">
        <v>201</v>
      </c>
      <c r="C3" s="97"/>
      <c r="D3" s="97"/>
      <c r="E3" s="1"/>
    </row>
    <row r="4" spans="1:5"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97730242.426141053</v>
      </c>
      <c r="D8" s="8" t="s">
        <v>3</v>
      </c>
      <c r="E8" s="1"/>
    </row>
    <row r="9" spans="1:5" x14ac:dyDescent="0.25">
      <c r="A9" s="1"/>
      <c r="B9" s="24" t="s">
        <v>33</v>
      </c>
      <c r="C9" s="7">
        <v>347961.60000000003</v>
      </c>
      <c r="D9" s="8" t="s">
        <v>3</v>
      </c>
      <c r="E9" s="1"/>
    </row>
    <row r="10" spans="1:5" x14ac:dyDescent="0.25">
      <c r="A10" s="1"/>
      <c r="B10" s="24" t="s">
        <v>34</v>
      </c>
      <c r="C10" s="9">
        <v>140168.46000000002</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3496574.0605066209</v>
      </c>
      <c r="D15" s="8" t="s">
        <v>3</v>
      </c>
      <c r="E15" s="1"/>
    </row>
    <row r="16" spans="1:5" x14ac:dyDescent="0.25">
      <c r="A16" s="1"/>
      <c r="B16" s="24" t="s">
        <v>9</v>
      </c>
      <c r="C16" s="9">
        <v>-2034298.9309329535</v>
      </c>
      <c r="D16" s="8" t="s">
        <v>3</v>
      </c>
      <c r="E16" s="1"/>
    </row>
    <row r="17" spans="1:5" x14ac:dyDescent="0.25">
      <c r="A17" s="1"/>
      <c r="B17" s="24" t="s">
        <v>22</v>
      </c>
      <c r="C17" s="9">
        <v>-788706.99725014379</v>
      </c>
      <c r="D17" s="8" t="s">
        <v>3</v>
      </c>
      <c r="E17" s="1"/>
    </row>
    <row r="18" spans="1:5" x14ac:dyDescent="0.25">
      <c r="A18" s="1"/>
      <c r="B18" s="24" t="s">
        <v>23</v>
      </c>
      <c r="C18" s="9">
        <v>0</v>
      </c>
      <c r="D18" s="8" t="s">
        <v>3</v>
      </c>
      <c r="E18" s="1"/>
    </row>
    <row r="19" spans="1:5" x14ac:dyDescent="0.25">
      <c r="A19" s="1"/>
      <c r="B19" s="70" t="s">
        <v>19</v>
      </c>
      <c r="C19" s="10">
        <v>98891940.618464574</v>
      </c>
      <c r="D19" s="11" t="s">
        <v>3</v>
      </c>
      <c r="E19" s="1"/>
    </row>
    <row r="20" spans="1:5" x14ac:dyDescent="0.25">
      <c r="A20" s="1"/>
      <c r="B20" s="51" t="s">
        <v>11</v>
      </c>
      <c r="C20" s="52"/>
      <c r="D20" s="19"/>
      <c r="E20" s="1"/>
    </row>
    <row r="21" spans="1:5" x14ac:dyDescent="0.25">
      <c r="A21" s="1"/>
      <c r="B21" s="53" t="s">
        <v>11</v>
      </c>
      <c r="C21" s="10">
        <v>62482892.164876804</v>
      </c>
      <c r="D21" s="11" t="s">
        <v>3</v>
      </c>
      <c r="E21" s="1"/>
    </row>
    <row r="22" spans="1:5" x14ac:dyDescent="0.25">
      <c r="A22" s="1"/>
      <c r="B22" s="51" t="s">
        <v>75</v>
      </c>
      <c r="C22" s="52"/>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0" t="s">
        <v>76</v>
      </c>
      <c r="C27" s="56">
        <v>0</v>
      </c>
      <c r="D27" s="11" t="s">
        <v>3</v>
      </c>
      <c r="E27" s="1"/>
    </row>
    <row r="28" spans="1:5" x14ac:dyDescent="0.25">
      <c r="A28" s="1"/>
      <c r="B28" s="26" t="s">
        <v>117</v>
      </c>
      <c r="C28" s="52"/>
      <c r="D28" s="19"/>
      <c r="E28" s="1"/>
    </row>
    <row r="29" spans="1:5" x14ac:dyDescent="0.25">
      <c r="A29" s="1"/>
      <c r="B29" s="69" t="s">
        <v>118</v>
      </c>
      <c r="C29" s="10">
        <v>0</v>
      </c>
      <c r="D29" s="11" t="s">
        <v>3</v>
      </c>
      <c r="E29" s="1"/>
    </row>
    <row r="30" spans="1:5" x14ac:dyDescent="0.25">
      <c r="A30" s="1"/>
      <c r="B30" s="26" t="s">
        <v>138</v>
      </c>
      <c r="C30" s="52"/>
      <c r="D30" s="19"/>
      <c r="E30" s="1"/>
    </row>
    <row r="31" spans="1:5" x14ac:dyDescent="0.25">
      <c r="A31" s="1"/>
      <c r="B31" s="69" t="s">
        <v>139</v>
      </c>
      <c r="C31" s="10">
        <v>0</v>
      </c>
      <c r="D31" s="11" t="s">
        <v>3</v>
      </c>
      <c r="E31" s="1"/>
    </row>
    <row r="32" spans="1:5" x14ac:dyDescent="0.25">
      <c r="A32" s="1"/>
      <c r="B32" s="51" t="s">
        <v>239</v>
      </c>
      <c r="C32" s="33">
        <v>161374832.78334138</v>
      </c>
      <c r="D32" s="19" t="s">
        <v>3</v>
      </c>
      <c r="E32" s="1"/>
    </row>
    <row r="33" spans="1:5" ht="30" customHeight="1" x14ac:dyDescent="0.25">
      <c r="A33" s="1"/>
      <c r="B33" s="96" t="s">
        <v>240</v>
      </c>
      <c r="C33" s="96"/>
      <c r="D33" s="96"/>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y9QdzU/wGw2LjX8cL1GWCmFLKvDRMwxLWGjfbrprp8BMBkXxJAN3jV9Z9BxusJeRGm+RB9cfWEtn9RcDwNcf6w==" saltValue="9VemfznnAH20Vw2jjWBnvw=="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7" t="s">
        <v>90</v>
      </c>
      <c r="C1" s="97"/>
      <c r="D1" s="97"/>
      <c r="E1" s="97"/>
      <c r="F1" s="97"/>
      <c r="G1" s="97"/>
      <c r="H1" s="97"/>
      <c r="I1" s="1"/>
    </row>
    <row r="2" spans="1:9" ht="15" customHeight="1" x14ac:dyDescent="0.25">
      <c r="A2" s="1"/>
      <c r="B2" s="97"/>
      <c r="C2" s="97"/>
      <c r="D2" s="97"/>
      <c r="E2" s="97"/>
      <c r="F2" s="97"/>
      <c r="G2" s="97"/>
      <c r="H2" s="97"/>
      <c r="I2" s="1"/>
    </row>
    <row r="3" spans="1:9" ht="15" customHeight="1" x14ac:dyDescent="0.25">
      <c r="A3" s="1"/>
      <c r="B3" s="97"/>
      <c r="C3" s="97"/>
      <c r="D3" s="97"/>
      <c r="E3" s="97"/>
      <c r="F3" s="97"/>
      <c r="G3" s="97"/>
      <c r="H3" s="97"/>
      <c r="I3" s="1"/>
    </row>
    <row r="4" spans="1:9" x14ac:dyDescent="0.25">
      <c r="A4" s="1"/>
      <c r="B4" s="98" t="s">
        <v>44</v>
      </c>
      <c r="C4" s="99"/>
      <c r="D4" s="99"/>
      <c r="E4" s="99"/>
      <c r="F4" s="99"/>
      <c r="G4" s="99"/>
      <c r="H4" s="100"/>
      <c r="I4" s="1"/>
    </row>
    <row r="5" spans="1:9" x14ac:dyDescent="0.25">
      <c r="A5" s="1"/>
      <c r="B5" s="101" t="s">
        <v>36</v>
      </c>
      <c r="C5" s="102"/>
      <c r="D5" s="102"/>
      <c r="E5" s="102"/>
      <c r="F5" s="103"/>
      <c r="G5" s="47">
        <v>35267608.025951229</v>
      </c>
      <c r="H5" s="14" t="s">
        <v>3</v>
      </c>
      <c r="I5" s="1"/>
    </row>
    <row r="6" spans="1:9" x14ac:dyDescent="0.25">
      <c r="A6" s="1"/>
      <c r="B6" s="101" t="s">
        <v>37</v>
      </c>
      <c r="C6" s="102"/>
      <c r="D6" s="102"/>
      <c r="E6" s="102"/>
      <c r="F6" s="103"/>
      <c r="G6" s="22">
        <f>G5*'Fane 13. Nøgletal'!C33</f>
        <v>705352.16051902459</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98" t="s">
        <v>45</v>
      </c>
      <c r="C9" s="99"/>
      <c r="D9" s="99"/>
      <c r="E9" s="99"/>
      <c r="F9" s="99"/>
      <c r="G9" s="99"/>
      <c r="H9" s="100"/>
      <c r="I9" s="1"/>
    </row>
    <row r="10" spans="1:9" x14ac:dyDescent="0.25">
      <c r="A10" s="1"/>
      <c r="B10" s="101" t="s">
        <v>38</v>
      </c>
      <c r="C10" s="102"/>
      <c r="D10" s="102"/>
      <c r="E10" s="102"/>
      <c r="F10" s="103"/>
      <c r="G10" s="22">
        <f>(G5-G6)*(1+'Fane 13. Nøgletal'!C9)</f>
        <v>35001196.514923193</v>
      </c>
      <c r="H10" s="14" t="s">
        <v>3</v>
      </c>
      <c r="I10" s="1"/>
    </row>
    <row r="11" spans="1:9" x14ac:dyDescent="0.25">
      <c r="A11" s="1"/>
      <c r="B11" s="104" t="s">
        <v>228</v>
      </c>
      <c r="C11" s="105"/>
      <c r="D11" s="105"/>
      <c r="E11" s="105"/>
      <c r="F11" s="106"/>
      <c r="G11" s="47">
        <v>0</v>
      </c>
      <c r="H11" s="14" t="s">
        <v>3</v>
      </c>
      <c r="I11" s="1"/>
    </row>
    <row r="12" spans="1:9" x14ac:dyDescent="0.25">
      <c r="A12" s="1"/>
      <c r="B12" s="101" t="s">
        <v>39</v>
      </c>
      <c r="C12" s="102"/>
      <c r="D12" s="102"/>
      <c r="E12" s="102"/>
      <c r="F12" s="103"/>
      <c r="G12" s="22">
        <f>(G10+G11)*'Fane 13. Nøgletal'!C33</f>
        <v>700023.93029846391</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98" t="s">
        <v>46</v>
      </c>
      <c r="C15" s="99"/>
      <c r="D15" s="99"/>
      <c r="E15" s="99"/>
      <c r="F15" s="99"/>
      <c r="G15" s="99"/>
      <c r="H15" s="100"/>
      <c r="I15" s="1"/>
    </row>
    <row r="16" spans="1:9" x14ac:dyDescent="0.25">
      <c r="A16" s="1"/>
      <c r="B16" s="101" t="s">
        <v>40</v>
      </c>
      <c r="C16" s="102"/>
      <c r="D16" s="102"/>
      <c r="E16" s="102"/>
      <c r="F16" s="103"/>
      <c r="G16" s="22">
        <f>(G10+G11-G12)*(1+'Fane 13. Nøgletal'!C11)</f>
        <v>34880862.401304886</v>
      </c>
      <c r="H16" s="14" t="s">
        <v>3</v>
      </c>
      <c r="I16" s="1"/>
    </row>
    <row r="17" spans="1:9" x14ac:dyDescent="0.25">
      <c r="A17" s="1"/>
      <c r="B17" s="101" t="s">
        <v>100</v>
      </c>
      <c r="C17" s="102"/>
      <c r="D17" s="102"/>
      <c r="E17" s="102"/>
      <c r="F17" s="103"/>
      <c r="G17" s="47">
        <v>95033.235520615752</v>
      </c>
      <c r="H17" s="14" t="s">
        <v>3</v>
      </c>
      <c r="I17" s="1"/>
    </row>
    <row r="18" spans="1:9" x14ac:dyDescent="0.25">
      <c r="A18" s="1"/>
      <c r="B18" s="104" t="s">
        <v>229</v>
      </c>
      <c r="C18" s="105"/>
      <c r="D18" s="105"/>
      <c r="E18" s="105"/>
      <c r="F18" s="106"/>
      <c r="G18" s="47">
        <v>3410104.116096999</v>
      </c>
      <c r="H18" s="14" t="s">
        <v>3</v>
      </c>
      <c r="I18" s="1"/>
    </row>
    <row r="19" spans="1:9" x14ac:dyDescent="0.25">
      <c r="A19" s="1"/>
      <c r="B19" s="101" t="s">
        <v>41</v>
      </c>
      <c r="C19" s="102"/>
      <c r="D19" s="102"/>
      <c r="E19" s="102"/>
      <c r="F19" s="103"/>
      <c r="G19" s="22">
        <f>SUM(G16:G18)*'Fane 13. Nøgletal'!C33</f>
        <v>767719.99505844992</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98" t="s">
        <v>47</v>
      </c>
      <c r="C22" s="99"/>
      <c r="D22" s="99"/>
      <c r="E22" s="99"/>
      <c r="F22" s="99"/>
      <c r="G22" s="99"/>
      <c r="H22" s="100"/>
      <c r="I22" s="1"/>
    </row>
    <row r="23" spans="1:9" x14ac:dyDescent="0.25">
      <c r="A23" s="1"/>
      <c r="B23" s="101" t="s">
        <v>42</v>
      </c>
      <c r="C23" s="102"/>
      <c r="D23" s="102"/>
      <c r="E23" s="102"/>
      <c r="F23" s="103"/>
      <c r="G23" s="22">
        <f>(SUM(G16:G18)-G19)*(1+'Fane 13. Nøgletal'!C11)</f>
        <v>38254028.68577195</v>
      </c>
      <c r="H23" s="14" t="s">
        <v>3</v>
      </c>
      <c r="I23" s="1"/>
    </row>
    <row r="24" spans="1:9" x14ac:dyDescent="0.25">
      <c r="A24" s="1"/>
      <c r="B24" s="104" t="s">
        <v>230</v>
      </c>
      <c r="C24" s="105"/>
      <c r="D24" s="105"/>
      <c r="E24" s="105"/>
      <c r="F24" s="106"/>
      <c r="G24" s="47">
        <v>301479.27817887004</v>
      </c>
      <c r="H24" s="14" t="s">
        <v>3</v>
      </c>
      <c r="I24" s="1"/>
    </row>
    <row r="25" spans="1:9" x14ac:dyDescent="0.25">
      <c r="A25" s="1"/>
      <c r="B25" s="101" t="s">
        <v>43</v>
      </c>
      <c r="C25" s="102"/>
      <c r="D25" s="102"/>
      <c r="E25" s="102"/>
      <c r="F25" s="103"/>
      <c r="G25" s="22">
        <f>(G23+G24)*'Fane 13. Nøgletal'!C33</f>
        <v>771110.15927901643</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98" t="s">
        <v>121</v>
      </c>
      <c r="C28" s="99"/>
      <c r="D28" s="99"/>
      <c r="E28" s="99"/>
      <c r="F28" s="99"/>
      <c r="G28" s="99"/>
      <c r="H28" s="100"/>
      <c r="I28" s="1"/>
    </row>
    <row r="29" spans="1:9" x14ac:dyDescent="0.25">
      <c r="A29" s="1"/>
      <c r="B29" s="101" t="s">
        <v>50</v>
      </c>
      <c r="C29" s="102"/>
      <c r="D29" s="102"/>
      <c r="E29" s="102"/>
      <c r="F29" s="103"/>
      <c r="G29" s="22">
        <f>(G23+G24-G25)*(1+'Fane 13. Nøgletal'!C13)</f>
        <v>38245367.457888797</v>
      </c>
      <c r="H29" s="14" t="s">
        <v>3</v>
      </c>
      <c r="I29" s="1"/>
    </row>
    <row r="30" spans="1:9" x14ac:dyDescent="0.25">
      <c r="A30" s="1"/>
      <c r="B30" s="101" t="s">
        <v>231</v>
      </c>
      <c r="C30" s="102"/>
      <c r="D30" s="102"/>
      <c r="E30" s="102"/>
      <c r="F30" s="103"/>
      <c r="G30" s="47">
        <v>251014.46580000001</v>
      </c>
      <c r="H30" s="14" t="s">
        <v>3</v>
      </c>
      <c r="I30" s="1"/>
    </row>
    <row r="31" spans="1:9" x14ac:dyDescent="0.25">
      <c r="A31" s="1"/>
      <c r="B31" s="101" t="s">
        <v>115</v>
      </c>
      <c r="C31" s="102"/>
      <c r="D31" s="102"/>
      <c r="E31" s="102"/>
      <c r="F31" s="103"/>
      <c r="G31" s="22">
        <f>(G29+G30)*'Fane 13. Nøgletal'!C33</f>
        <v>769927.63847377605</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98" t="s">
        <v>122</v>
      </c>
      <c r="C34" s="99"/>
      <c r="D34" s="99"/>
      <c r="E34" s="99"/>
      <c r="F34" s="99"/>
      <c r="G34" s="99"/>
      <c r="H34" s="100"/>
      <c r="I34" s="1"/>
    </row>
    <row r="35" spans="1:9" x14ac:dyDescent="0.25">
      <c r="A35" s="1"/>
      <c r="B35" s="101" t="s">
        <v>69</v>
      </c>
      <c r="C35" s="102"/>
      <c r="D35" s="102"/>
      <c r="E35" s="102"/>
      <c r="F35" s="103"/>
      <c r="G35" s="22">
        <f>(G29+G30-G31)*(1+'Fane 13. Nøgletal'!C13)</f>
        <v>38186717.027494647</v>
      </c>
      <c r="H35" s="14" t="s">
        <v>3</v>
      </c>
      <c r="I35" s="1"/>
    </row>
    <row r="36" spans="1:9" x14ac:dyDescent="0.25">
      <c r="A36" s="1"/>
      <c r="B36" s="101" t="s">
        <v>232</v>
      </c>
      <c r="C36" s="102"/>
      <c r="D36" s="102"/>
      <c r="E36" s="102"/>
      <c r="F36" s="103"/>
      <c r="G36" s="47">
        <v>315069.20857000008</v>
      </c>
      <c r="H36" s="14" t="s">
        <v>3</v>
      </c>
      <c r="I36" s="1"/>
    </row>
    <row r="37" spans="1:9" x14ac:dyDescent="0.25">
      <c r="A37" s="1"/>
      <c r="B37" s="101" t="s">
        <v>123</v>
      </c>
      <c r="C37" s="102"/>
      <c r="D37" s="102"/>
      <c r="E37" s="102"/>
      <c r="F37" s="103"/>
      <c r="G37" s="22">
        <f>(G35+G36)*'Fane 13. Nøgletal'!C33</f>
        <v>770035.72472129297</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98" t="s">
        <v>157</v>
      </c>
      <c r="C40" s="99"/>
      <c r="D40" s="99"/>
      <c r="E40" s="99"/>
      <c r="F40" s="99"/>
      <c r="G40" s="99"/>
      <c r="H40" s="100"/>
      <c r="I40" s="1"/>
    </row>
    <row r="41" spans="1:9" x14ac:dyDescent="0.25">
      <c r="A41" s="1"/>
      <c r="B41" s="101" t="s">
        <v>68</v>
      </c>
      <c r="C41" s="102"/>
      <c r="D41" s="102"/>
      <c r="E41" s="102"/>
      <c r="F41" s="103"/>
      <c r="G41" s="22">
        <f>(G35+G36-G37)*(1+'Fane 13. Nøgletal'!C15)</f>
        <v>39075000.829547189</v>
      </c>
      <c r="H41" s="14" t="s">
        <v>3</v>
      </c>
      <c r="I41" s="1"/>
    </row>
    <row r="42" spans="1:9" x14ac:dyDescent="0.25">
      <c r="A42" s="1"/>
      <c r="B42" s="101" t="s">
        <v>156</v>
      </c>
      <c r="C42" s="102"/>
      <c r="D42" s="102"/>
      <c r="E42" s="102"/>
      <c r="F42" s="103"/>
      <c r="G42" s="47">
        <v>360349.03296000004</v>
      </c>
      <c r="H42" s="14" t="s">
        <v>3</v>
      </c>
      <c r="I42" s="1"/>
    </row>
    <row r="43" spans="1:9" x14ac:dyDescent="0.25">
      <c r="A43" s="1"/>
      <c r="B43" s="101" t="s">
        <v>166</v>
      </c>
      <c r="C43" s="102"/>
      <c r="D43" s="102"/>
      <c r="E43" s="102"/>
      <c r="F43" s="103"/>
      <c r="G43" s="22">
        <f>(G41+G42)*'Fane 13. Nøgletal'!C33</f>
        <v>788706.99725014379</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98" t="s">
        <v>158</v>
      </c>
      <c r="C46" s="99"/>
      <c r="D46" s="99"/>
      <c r="E46" s="99"/>
      <c r="F46" s="99"/>
      <c r="G46" s="99"/>
      <c r="H46" s="100"/>
      <c r="I46" s="1"/>
    </row>
    <row r="47" spans="1:9" x14ac:dyDescent="0.25">
      <c r="A47" s="1"/>
      <c r="B47" s="101" t="s">
        <v>112</v>
      </c>
      <c r="C47" s="102"/>
      <c r="D47" s="102"/>
      <c r="E47" s="102"/>
      <c r="F47" s="103"/>
      <c r="G47" s="22">
        <f>(G41+G42-G43)*(1+'Fane 13. Nøgletal'!C15)</f>
        <v>40022463.351260193</v>
      </c>
      <c r="H47" s="14" t="s">
        <v>3</v>
      </c>
      <c r="I47" s="1"/>
    </row>
    <row r="48" spans="1:9" x14ac:dyDescent="0.25">
      <c r="A48" s="1"/>
      <c r="B48" s="101" t="s">
        <v>206</v>
      </c>
      <c r="C48" s="102"/>
      <c r="D48" s="102"/>
      <c r="E48" s="102"/>
      <c r="F48" s="103"/>
      <c r="G48" s="22">
        <f>('Fane 2.1. Økonomisk ramme 2024'!C9+'Fane 2.1. Økonomisk ramme 2024'!C11+'Fane 2.1. Økonomisk ramme 2024'!C13)*(1+'Fane 13. Nøgletal'!C16)</f>
        <v>311890.34687999997</v>
      </c>
      <c r="H48" s="14" t="s">
        <v>3</v>
      </c>
      <c r="I48" s="1"/>
    </row>
    <row r="49" spans="1:9" x14ac:dyDescent="0.25">
      <c r="A49" s="1"/>
      <c r="B49" s="101" t="s">
        <v>167</v>
      </c>
      <c r="C49" s="102"/>
      <c r="D49" s="102"/>
      <c r="E49" s="102"/>
      <c r="F49" s="103"/>
      <c r="G49" s="22">
        <f>G47*'Fane 13. Nøgletal'!C33+G48*'Fane 13. Nøgletal'!C33</f>
        <v>806687.07396280393</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98" t="s">
        <v>133</v>
      </c>
      <c r="C52" s="99"/>
      <c r="D52" s="99"/>
      <c r="E52" s="99"/>
      <c r="F52" s="99"/>
      <c r="G52" s="99"/>
      <c r="H52" s="100"/>
      <c r="I52" s="1"/>
    </row>
    <row r="53" spans="1:9" x14ac:dyDescent="0.25">
      <c r="A53" s="1"/>
      <c r="B53" s="101" t="s">
        <v>134</v>
      </c>
      <c r="C53" s="102"/>
      <c r="D53" s="102"/>
      <c r="E53" s="102"/>
      <c r="F53" s="103"/>
      <c r="G53" s="22">
        <f>(G47+G48-G49)*(1+'Fane 13. Nøgletal'!C16)</f>
        <v>42721502.087410912</v>
      </c>
      <c r="H53" s="14" t="s">
        <v>3</v>
      </c>
      <c r="I53" s="1"/>
    </row>
    <row r="54" spans="1:9" x14ac:dyDescent="0.25">
      <c r="A54" s="1"/>
      <c r="B54" s="101" t="s">
        <v>135</v>
      </c>
      <c r="C54" s="102"/>
      <c r="D54" s="102"/>
      <c r="E54" s="102"/>
      <c r="F54" s="103"/>
      <c r="G54" s="22">
        <f>(G53)*'Fane 13. Nøgletal'!C33</f>
        <v>854430.04174821824</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98" t="s">
        <v>144</v>
      </c>
      <c r="C57" s="99"/>
      <c r="D57" s="99"/>
      <c r="E57" s="99"/>
      <c r="F57" s="99"/>
      <c r="G57" s="99"/>
      <c r="H57" s="100"/>
      <c r="I57" s="1"/>
    </row>
    <row r="58" spans="1:9" x14ac:dyDescent="0.25">
      <c r="A58" s="1"/>
      <c r="B58" s="101" t="s">
        <v>145</v>
      </c>
      <c r="C58" s="102"/>
      <c r="D58" s="102"/>
      <c r="E58" s="102"/>
      <c r="F58" s="103"/>
      <c r="G58" s="22">
        <f>(G53-G54)*(1+'Fane 13. Nøgletal'!C16)</f>
        <v>45249931.466952242</v>
      </c>
      <c r="H58" s="14" t="s">
        <v>3</v>
      </c>
      <c r="I58" s="1"/>
    </row>
    <row r="59" spans="1:9" x14ac:dyDescent="0.25">
      <c r="A59" s="1"/>
      <c r="B59" s="101" t="s">
        <v>146</v>
      </c>
      <c r="C59" s="102"/>
      <c r="D59" s="102"/>
      <c r="E59" s="102"/>
      <c r="F59" s="103"/>
      <c r="G59" s="22">
        <f>(G58)*'Fane 13. Nøgletal'!C33</f>
        <v>904998.62933904491</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98" t="s">
        <v>220</v>
      </c>
      <c r="C62" s="99"/>
      <c r="D62" s="99"/>
      <c r="E62" s="99"/>
      <c r="F62" s="99"/>
      <c r="G62" s="99"/>
      <c r="H62" s="100"/>
      <c r="I62" s="1"/>
    </row>
    <row r="63" spans="1:9" x14ac:dyDescent="0.25">
      <c r="A63" s="1"/>
      <c r="B63" s="101" t="s">
        <v>221</v>
      </c>
      <c r="C63" s="102"/>
      <c r="D63" s="102"/>
      <c r="E63" s="102"/>
      <c r="F63" s="103"/>
      <c r="G63" s="22">
        <f>(G58-G59)*(1+'Fane 13. Nøgletal'!C16)</f>
        <v>47928003.410892338</v>
      </c>
      <c r="H63" s="14" t="s">
        <v>3</v>
      </c>
      <c r="I63" s="1"/>
    </row>
    <row r="64" spans="1:9" x14ac:dyDescent="0.25">
      <c r="A64" s="1"/>
      <c r="B64" s="101" t="s">
        <v>222</v>
      </c>
      <c r="C64" s="102"/>
      <c r="D64" s="102"/>
      <c r="E64" s="102"/>
      <c r="F64" s="103"/>
      <c r="G64" s="22">
        <f>(G63)*'Fane 13. Nøgletal'!C33</f>
        <v>958560.0682178468</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IUQwU3/iOiyLJn3Ki9b0j1lmubx3Wqtaw2zer5m8Nh2ZTcHyLuQB6E1kUy2yfKWqIkHGnEZSS2WnWjh7uvHKAA==" saltValue="/zdJI3A/84sH70JnCVyiYg=="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7" t="s">
        <v>91</v>
      </c>
      <c r="C1" s="108"/>
      <c r="D1" s="108"/>
      <c r="E1" s="108"/>
      <c r="F1" s="108"/>
      <c r="G1" s="108"/>
      <c r="H1" s="108"/>
      <c r="I1" s="1"/>
    </row>
    <row r="2" spans="1:9" ht="19.899999999999999" customHeight="1" x14ac:dyDescent="0.25">
      <c r="A2" s="1"/>
      <c r="B2" s="108"/>
      <c r="C2" s="108"/>
      <c r="D2" s="108"/>
      <c r="E2" s="108"/>
      <c r="F2" s="108"/>
      <c r="G2" s="108"/>
      <c r="H2" s="108"/>
      <c r="I2" s="1"/>
    </row>
    <row r="3" spans="1:9" ht="15" customHeight="1" x14ac:dyDescent="0.25">
      <c r="A3" s="1"/>
      <c r="B3" s="109"/>
      <c r="C3" s="109"/>
      <c r="D3" s="109"/>
      <c r="E3" s="109"/>
      <c r="F3" s="109"/>
      <c r="G3" s="109"/>
      <c r="H3" s="109"/>
      <c r="I3" s="1"/>
    </row>
    <row r="4" spans="1:9" x14ac:dyDescent="0.25">
      <c r="A4" s="1"/>
      <c r="B4" s="98" t="s">
        <v>48</v>
      </c>
      <c r="C4" s="99"/>
      <c r="D4" s="99"/>
      <c r="E4" s="99"/>
      <c r="F4" s="99"/>
      <c r="G4" s="99"/>
      <c r="H4" s="100"/>
      <c r="I4" s="1"/>
    </row>
    <row r="5" spans="1:9" x14ac:dyDescent="0.25">
      <c r="A5" s="1"/>
      <c r="B5" s="101" t="s">
        <v>51</v>
      </c>
      <c r="C5" s="102"/>
      <c r="D5" s="102"/>
      <c r="E5" s="102"/>
      <c r="F5" s="103"/>
      <c r="G5" s="47">
        <v>62380457.62591286</v>
      </c>
      <c r="H5" s="14" t="s">
        <v>3</v>
      </c>
      <c r="I5" s="1"/>
    </row>
    <row r="6" spans="1:9" x14ac:dyDescent="0.25">
      <c r="A6" s="1"/>
      <c r="B6" s="101" t="s">
        <v>49</v>
      </c>
      <c r="C6" s="102"/>
      <c r="D6" s="102"/>
      <c r="E6" s="102"/>
      <c r="F6" s="103"/>
      <c r="G6" s="22">
        <f>G5*'Fane 13. Nøgletal'!C21</f>
        <v>567662.16439580708</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98" t="s">
        <v>52</v>
      </c>
      <c r="C9" s="99"/>
      <c r="D9" s="99"/>
      <c r="E9" s="99"/>
      <c r="F9" s="99"/>
      <c r="G9" s="99"/>
      <c r="H9" s="100"/>
      <c r="I9" s="1"/>
    </row>
    <row r="10" spans="1:9" x14ac:dyDescent="0.25">
      <c r="A10" s="1"/>
      <c r="B10" s="101" t="s">
        <v>53</v>
      </c>
      <c r="C10" s="102"/>
      <c r="D10" s="102"/>
      <c r="E10" s="102"/>
      <c r="F10" s="103"/>
      <c r="G10" s="22">
        <f>(G5-G6)*(1+'Fane 13. Nøgletal'!C9)</f>
        <v>62597817.963878311</v>
      </c>
      <c r="H10" s="14" t="s">
        <v>3</v>
      </c>
      <c r="I10" s="1"/>
    </row>
    <row r="11" spans="1:9" x14ac:dyDescent="0.25">
      <c r="A11" s="1"/>
      <c r="B11" s="104" t="s">
        <v>54</v>
      </c>
      <c r="C11" s="105"/>
      <c r="D11" s="105"/>
      <c r="E11" s="105"/>
      <c r="F11" s="106"/>
      <c r="G11" s="48">
        <v>0</v>
      </c>
      <c r="H11" s="14" t="s">
        <v>3</v>
      </c>
      <c r="I11" s="1"/>
    </row>
    <row r="12" spans="1:9" x14ac:dyDescent="0.25">
      <c r="A12" s="1"/>
      <c r="B12" s="101" t="s">
        <v>55</v>
      </c>
      <c r="C12" s="102"/>
      <c r="D12" s="102"/>
      <c r="E12" s="102"/>
      <c r="F12" s="103"/>
      <c r="G12" s="22">
        <f>G10*'Fane 13. Nøgletal'!C21+G11*'Fane 13. Nøgletal'!C22</f>
        <v>569640.14347129269</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98" t="s">
        <v>56</v>
      </c>
      <c r="C15" s="99"/>
      <c r="D15" s="99"/>
      <c r="E15" s="99"/>
      <c r="F15" s="99"/>
      <c r="G15" s="99"/>
      <c r="H15" s="100"/>
      <c r="I15" s="1"/>
    </row>
    <row r="16" spans="1:9" x14ac:dyDescent="0.25">
      <c r="A16" s="1"/>
      <c r="B16" s="101" t="s">
        <v>57</v>
      </c>
      <c r="C16" s="102"/>
      <c r="D16" s="102"/>
      <c r="E16" s="102"/>
      <c r="F16" s="103"/>
      <c r="G16" s="22">
        <f>(G10+G11-G12)*(1+'Fane 13. Nøgletal'!C11)</f>
        <v>63076454.02557189</v>
      </c>
      <c r="H16" s="14" t="s">
        <v>3</v>
      </c>
      <c r="I16" s="1"/>
    </row>
    <row r="17" spans="1:9" x14ac:dyDescent="0.25">
      <c r="A17" s="1"/>
      <c r="B17" s="101" t="s">
        <v>101</v>
      </c>
      <c r="C17" s="102"/>
      <c r="D17" s="102"/>
      <c r="E17" s="102"/>
      <c r="F17" s="103"/>
      <c r="G17" s="47">
        <v>-1269571.6226364074</v>
      </c>
      <c r="H17" s="14" t="s">
        <v>3</v>
      </c>
      <c r="I17" s="1"/>
    </row>
    <row r="18" spans="1:9" x14ac:dyDescent="0.25">
      <c r="A18" s="1"/>
      <c r="B18" s="104" t="s">
        <v>58</v>
      </c>
      <c r="C18" s="105"/>
      <c r="D18" s="105"/>
      <c r="E18" s="105"/>
      <c r="F18" s="106"/>
      <c r="G18" s="47">
        <v>5058784.0312019587</v>
      </c>
      <c r="H18" s="14" t="s">
        <v>3</v>
      </c>
      <c r="I18" s="1"/>
    </row>
    <row r="19" spans="1:9" x14ac:dyDescent="0.25">
      <c r="A19" s="1"/>
      <c r="B19" s="101" t="s">
        <v>59</v>
      </c>
      <c r="C19" s="102"/>
      <c r="D19" s="102"/>
      <c r="E19" s="102"/>
      <c r="F19" s="103"/>
      <c r="G19" s="22">
        <f>(G16+G17+G18)*'Fane 13. Nøgletal'!C23</f>
        <v>581731.2979769957</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98" t="s">
        <v>60</v>
      </c>
      <c r="C22" s="99"/>
      <c r="D22" s="99"/>
      <c r="E22" s="99"/>
      <c r="F22" s="99"/>
      <c r="G22" s="99"/>
      <c r="H22" s="100"/>
      <c r="I22" s="1"/>
    </row>
    <row r="23" spans="1:9" x14ac:dyDescent="0.25">
      <c r="A23" s="1"/>
      <c r="B23" s="101" t="s">
        <v>61</v>
      </c>
      <c r="C23" s="102"/>
      <c r="D23" s="102"/>
      <c r="E23" s="102"/>
      <c r="F23" s="103"/>
      <c r="G23" s="22">
        <f>(SUM(G16:G18)-G19)*(1+'Fane 13. Nøgletal'!C11)</f>
        <v>67404133.639961556</v>
      </c>
      <c r="H23" s="14" t="s">
        <v>3</v>
      </c>
      <c r="I23" s="1"/>
    </row>
    <row r="24" spans="1:9" x14ac:dyDescent="0.25">
      <c r="A24" s="1"/>
      <c r="B24" s="104" t="s">
        <v>62</v>
      </c>
      <c r="C24" s="105"/>
      <c r="D24" s="105"/>
      <c r="E24" s="105"/>
      <c r="F24" s="106"/>
      <c r="G24" s="47">
        <v>1987306.0570124218</v>
      </c>
      <c r="H24" s="14" t="s">
        <v>3</v>
      </c>
      <c r="I24" s="1"/>
    </row>
    <row r="25" spans="1:9" x14ac:dyDescent="0.25">
      <c r="A25" s="1"/>
      <c r="B25" s="101" t="s">
        <v>63</v>
      </c>
      <c r="C25" s="102"/>
      <c r="D25" s="102"/>
      <c r="E25" s="102"/>
      <c r="F25" s="103"/>
      <c r="G25" s="22">
        <f>G23*'Fane 13. Nøgletal'!C23+G24*'Fane 13. Nøgletal'!C24</f>
        <v>642855.45468681818</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98" t="s">
        <v>119</v>
      </c>
      <c r="C28" s="99"/>
      <c r="D28" s="99"/>
      <c r="E28" s="99"/>
      <c r="F28" s="99"/>
      <c r="G28" s="99"/>
      <c r="H28" s="100"/>
      <c r="I28" s="1"/>
    </row>
    <row r="29" spans="1:9" x14ac:dyDescent="0.25">
      <c r="A29" s="1"/>
      <c r="B29" s="101" t="s">
        <v>64</v>
      </c>
      <c r="C29" s="102"/>
      <c r="D29" s="102"/>
      <c r="E29" s="102"/>
      <c r="F29" s="103"/>
      <c r="G29" s="22">
        <f>(G23+G24-G25)*(1+'Fane 13. Nøgletal'!C13)</f>
        <v>69587316.970043063</v>
      </c>
      <c r="H29" s="14" t="s">
        <v>3</v>
      </c>
      <c r="I29" s="1"/>
    </row>
    <row r="30" spans="1:9" x14ac:dyDescent="0.25">
      <c r="A30" s="1"/>
      <c r="B30" s="101" t="s">
        <v>113</v>
      </c>
      <c r="C30" s="102"/>
      <c r="D30" s="102"/>
      <c r="E30" s="102"/>
      <c r="F30" s="103"/>
      <c r="G30" s="47">
        <v>1486358.0823369599</v>
      </c>
      <c r="H30" s="14" t="s">
        <v>3</v>
      </c>
      <c r="I30" s="1"/>
    </row>
    <row r="31" spans="1:9" x14ac:dyDescent="0.25">
      <c r="A31" s="1"/>
      <c r="B31" s="101" t="s">
        <v>120</v>
      </c>
      <c r="C31" s="102"/>
      <c r="D31" s="102"/>
      <c r="E31" s="102"/>
      <c r="F31" s="103"/>
      <c r="G31" s="22">
        <f>(G29+G30)*'Fane 13. Nøgletal'!C25</f>
        <v>1954526.0639404508</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98" t="s">
        <v>124</v>
      </c>
      <c r="C34" s="99"/>
      <c r="D34" s="99"/>
      <c r="E34" s="99"/>
      <c r="F34" s="99"/>
      <c r="G34" s="99"/>
      <c r="H34" s="100"/>
      <c r="I34" s="1"/>
    </row>
    <row r="35" spans="1:9" x14ac:dyDescent="0.25">
      <c r="A35" s="1"/>
      <c r="B35" s="101" t="s">
        <v>67</v>
      </c>
      <c r="C35" s="102"/>
      <c r="D35" s="102"/>
      <c r="E35" s="102"/>
      <c r="F35" s="103"/>
      <c r="G35" s="22">
        <f>(G29+G30-G31)*(1+'Fane 13. Nøgletal'!C13)</f>
        <v>69962402.606098533</v>
      </c>
      <c r="H35" s="14" t="s">
        <v>3</v>
      </c>
      <c r="I35" s="1"/>
    </row>
    <row r="36" spans="1:9" x14ac:dyDescent="0.25">
      <c r="A36" s="1"/>
      <c r="B36" s="101" t="s">
        <v>129</v>
      </c>
      <c r="C36" s="102"/>
      <c r="D36" s="102"/>
      <c r="E36" s="102"/>
      <c r="F36" s="103"/>
      <c r="G36" s="47">
        <v>122648.49067027001</v>
      </c>
      <c r="H36" s="14" t="s">
        <v>3</v>
      </c>
      <c r="I36" s="1"/>
    </row>
    <row r="37" spans="1:9" x14ac:dyDescent="0.25">
      <c r="A37" s="1"/>
      <c r="B37" s="101" t="s">
        <v>125</v>
      </c>
      <c r="C37" s="102"/>
      <c r="D37" s="102"/>
      <c r="E37" s="102"/>
      <c r="F37" s="103"/>
      <c r="G37" s="22">
        <f>G35*'Fane 13. Nøgletal'!C25+G36*'Fane 13. Nøgletal'!C26</f>
        <v>1925781.2693296296</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98" t="s">
        <v>159</v>
      </c>
      <c r="C40" s="99"/>
      <c r="D40" s="99"/>
      <c r="E40" s="99"/>
      <c r="F40" s="99"/>
      <c r="G40" s="99"/>
      <c r="H40" s="100"/>
      <c r="I40" s="1"/>
    </row>
    <row r="41" spans="1:9" x14ac:dyDescent="0.25">
      <c r="A41" s="1"/>
      <c r="B41" s="101" t="s">
        <v>66</v>
      </c>
      <c r="C41" s="102"/>
      <c r="D41" s="102"/>
      <c r="E41" s="102"/>
      <c r="F41" s="103"/>
      <c r="G41" s="22">
        <f>(G35+G36-G37)*(1+'Fane 13. Nøgletal'!C15)</f>
        <v>70585739.833296016</v>
      </c>
      <c r="H41" s="14" t="s">
        <v>3</v>
      </c>
      <c r="I41" s="1"/>
    </row>
    <row r="42" spans="1:9" x14ac:dyDescent="0.25">
      <c r="A42" s="1"/>
      <c r="B42" s="101" t="s">
        <v>169</v>
      </c>
      <c r="C42" s="102"/>
      <c r="D42" s="102"/>
      <c r="E42" s="102"/>
      <c r="F42" s="103"/>
      <c r="G42" s="9">
        <v>145158.45717600003</v>
      </c>
      <c r="H42" s="14" t="s">
        <v>3</v>
      </c>
      <c r="I42" s="1"/>
    </row>
    <row r="43" spans="1:9" x14ac:dyDescent="0.25">
      <c r="A43" s="1"/>
      <c r="B43" s="101" t="s">
        <v>65</v>
      </c>
      <c r="C43" s="102"/>
      <c r="D43" s="102"/>
      <c r="E43" s="102"/>
      <c r="F43" s="103"/>
      <c r="G43" s="55">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98" t="s">
        <v>160</v>
      </c>
      <c r="C46" s="99"/>
      <c r="D46" s="99"/>
      <c r="E46" s="99"/>
      <c r="F46" s="99"/>
      <c r="G46" s="99"/>
      <c r="H46" s="100"/>
      <c r="I46" s="1"/>
    </row>
    <row r="47" spans="1:9" x14ac:dyDescent="0.25">
      <c r="A47" s="1"/>
      <c r="B47" s="101" t="s">
        <v>114</v>
      </c>
      <c r="C47" s="102"/>
      <c r="D47" s="102"/>
      <c r="E47" s="102"/>
      <c r="F47" s="103"/>
      <c r="G47" s="22">
        <f>(G41+G42-G43)*(1+'Fane 13. Nøgletal'!C15)</f>
        <v>73248918.269612819</v>
      </c>
      <c r="H47" s="14" t="s">
        <v>3</v>
      </c>
      <c r="I47" s="1"/>
    </row>
    <row r="48" spans="1:9" x14ac:dyDescent="0.25">
      <c r="A48" s="1"/>
      <c r="B48" s="101" t="s">
        <v>210</v>
      </c>
      <c r="C48" s="102"/>
      <c r="D48" s="102"/>
      <c r="E48" s="102"/>
      <c r="F48" s="103"/>
      <c r="G48" s="22">
        <f>('Fane 2.1. Økonomisk ramme 2024'!C10+'Fane 2.1. Økonomisk ramme 2024'!C12+'Fane 2.1. Økonomisk ramme 2024'!C14)*(1+'Fane 13. Nøgletal'!C16)</f>
        <v>200711.36731072</v>
      </c>
      <c r="H48" s="14" t="s">
        <v>3</v>
      </c>
      <c r="I48" s="1"/>
    </row>
    <row r="49" spans="1:9" x14ac:dyDescent="0.25">
      <c r="A49" s="1"/>
      <c r="B49" s="101" t="s">
        <v>211</v>
      </c>
      <c r="C49" s="102"/>
      <c r="D49" s="102"/>
      <c r="E49" s="102"/>
      <c r="F49" s="103"/>
      <c r="G49" s="55">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98" t="s">
        <v>130</v>
      </c>
      <c r="C52" s="99"/>
      <c r="D52" s="99"/>
      <c r="E52" s="99"/>
      <c r="F52" s="99"/>
      <c r="G52" s="99"/>
      <c r="H52" s="100"/>
      <c r="I52" s="1"/>
    </row>
    <row r="53" spans="1:9" x14ac:dyDescent="0.25">
      <c r="A53" s="1"/>
      <c r="B53" s="101" t="s">
        <v>131</v>
      </c>
      <c r="C53" s="102"/>
      <c r="D53" s="102"/>
      <c r="E53" s="102"/>
      <c r="F53" s="103"/>
      <c r="G53" s="22">
        <f>(G47+G48-G49)*(1+'Fane 13. Nøgletal'!C16)</f>
        <v>79384359.711586952</v>
      </c>
      <c r="H53" s="14" t="s">
        <v>3</v>
      </c>
      <c r="I53" s="1"/>
    </row>
    <row r="54" spans="1:9" x14ac:dyDescent="0.25">
      <c r="A54" s="1"/>
      <c r="B54" s="101" t="s">
        <v>132</v>
      </c>
      <c r="C54" s="102"/>
      <c r="D54" s="102"/>
      <c r="E54" s="102"/>
      <c r="F54" s="103"/>
      <c r="G54" s="55">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98" t="s">
        <v>147</v>
      </c>
      <c r="C57" s="99"/>
      <c r="D57" s="99"/>
      <c r="E57" s="99"/>
      <c r="F57" s="99"/>
      <c r="G57" s="99"/>
      <c r="H57" s="100"/>
      <c r="I57" s="1"/>
    </row>
    <row r="58" spans="1:9" x14ac:dyDescent="0.25">
      <c r="A58" s="1"/>
      <c r="B58" s="101" t="s">
        <v>148</v>
      </c>
      <c r="C58" s="102"/>
      <c r="D58" s="102"/>
      <c r="E58" s="102"/>
      <c r="F58" s="103"/>
      <c r="G58" s="22">
        <f>(G53-G54)*(1+'Fane 13. Nøgletal'!C16)</f>
        <v>85798615.976283178</v>
      </c>
      <c r="H58" s="14" t="s">
        <v>3</v>
      </c>
      <c r="I58" s="1"/>
    </row>
    <row r="59" spans="1:9" x14ac:dyDescent="0.25">
      <c r="A59" s="1"/>
      <c r="B59" s="101" t="s">
        <v>149</v>
      </c>
      <c r="C59" s="102"/>
      <c r="D59" s="102"/>
      <c r="E59" s="102"/>
      <c r="F59" s="103"/>
      <c r="G59" s="55">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98" t="s">
        <v>223</v>
      </c>
      <c r="C62" s="99"/>
      <c r="D62" s="99"/>
      <c r="E62" s="99"/>
      <c r="F62" s="99"/>
      <c r="G62" s="99"/>
      <c r="H62" s="100"/>
      <c r="I62" s="1"/>
    </row>
    <row r="63" spans="1:9" x14ac:dyDescent="0.25">
      <c r="A63" s="1"/>
      <c r="B63" s="101" t="s">
        <v>224</v>
      </c>
      <c r="C63" s="102"/>
      <c r="D63" s="102"/>
      <c r="E63" s="102"/>
      <c r="F63" s="103"/>
      <c r="G63" s="22">
        <f>(G58-G59)*(1+'Fane 13. Nøgletal'!C16)</f>
        <v>92731144.147166863</v>
      </c>
      <c r="H63" s="14" t="s">
        <v>3</v>
      </c>
      <c r="I63" s="1"/>
    </row>
    <row r="64" spans="1:9" x14ac:dyDescent="0.25">
      <c r="A64" s="1"/>
      <c r="B64" s="101" t="s">
        <v>225</v>
      </c>
      <c r="C64" s="102"/>
      <c r="D64" s="102"/>
      <c r="E64" s="102"/>
      <c r="F64" s="103"/>
      <c r="G64" s="55">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Epnt2dGB6t+sfctwj4rtDqEaf/HpaA1IRSW196ziC9g2Q4VTaosCzk61erj9+gkrNYBzFhKp4VAmhUt0NGvMOg==" saltValue="W4KVq7jD7mIIlh7C/kp7LQ=="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4" t="s">
        <v>77</v>
      </c>
      <c r="C3" s="94"/>
      <c r="D3" s="94"/>
      <c r="E3" s="94"/>
      <c r="F3" s="94"/>
      <c r="G3" s="94"/>
      <c r="H3" s="1"/>
    </row>
    <row r="4" spans="1:8" ht="15" customHeight="1" x14ac:dyDescent="0.25">
      <c r="A4" s="1"/>
      <c r="B4" s="94"/>
      <c r="C4" s="94"/>
      <c r="D4" s="94"/>
      <c r="E4" s="94"/>
      <c r="F4" s="94"/>
      <c r="G4" s="9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98" t="s">
        <v>9</v>
      </c>
      <c r="C8" s="99"/>
      <c r="D8" s="99"/>
      <c r="E8" s="99"/>
      <c r="F8" s="99"/>
      <c r="G8" s="100"/>
      <c r="H8" s="1"/>
    </row>
    <row r="9" spans="1:8" x14ac:dyDescent="0.25">
      <c r="A9" s="1"/>
      <c r="B9" s="62" t="s">
        <v>150</v>
      </c>
      <c r="C9" s="63"/>
      <c r="D9" s="63"/>
      <c r="E9" s="63"/>
      <c r="F9" s="64"/>
      <c r="G9" s="60">
        <v>0.02</v>
      </c>
      <c r="H9" s="1"/>
    </row>
    <row r="10" spans="1:8" x14ac:dyDescent="0.25">
      <c r="A10" s="1"/>
      <c r="B10" s="51"/>
      <c r="C10" s="52"/>
      <c r="D10" s="52"/>
      <c r="E10" s="52"/>
      <c r="F10" s="52"/>
      <c r="G10" s="19"/>
      <c r="H10" s="1"/>
    </row>
    <row r="11" spans="1:8" ht="15" customHeight="1" x14ac:dyDescent="0.25">
      <c r="A11" s="1"/>
      <c r="B11" s="110" t="s">
        <v>236</v>
      </c>
      <c r="C11" s="111"/>
      <c r="D11" s="111"/>
      <c r="E11" s="111"/>
      <c r="F11" s="111"/>
      <c r="G11" s="112"/>
      <c r="H11" s="1"/>
    </row>
    <row r="12" spans="1:8" ht="13.5" customHeight="1" x14ac:dyDescent="0.25">
      <c r="A12" s="1"/>
      <c r="B12" s="113"/>
      <c r="C12" s="114"/>
      <c r="D12" s="114"/>
      <c r="E12" s="114"/>
      <c r="F12" s="114"/>
      <c r="G12" s="11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8BHXdOKdEQIp31GJr+5pOCT5Q8SDfTxsQ8q4GxHyCTML3ppJr38GcT9YBWCazPXP3fpArwxXWm9RAmxSRGJCJQ==" saltValue="goNGdK6EKXmCyttZ573YoA=="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2024-03-06T10:36:01Z</dcterms:modified>
</cp:coreProperties>
</file>