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Thisted Spildevand Transport AS (S095)\ØR2024\"/>
    </mc:Choice>
  </mc:AlternateContent>
  <xr:revisionPtr revIDLastSave="0" documentId="13_ncr:1_{7D0B6274-7A15-4E09-BE52-A7D86FF9CB36}"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26" i="44" l="1"/>
  <c r="E17" i="44"/>
  <c r="E16" i="44"/>
  <c r="E18" i="44" s="1"/>
  <c r="E30" i="44" l="1"/>
  <c r="E32" i="44" s="1"/>
  <c r="C20" i="15" s="1"/>
  <c r="C9" i="2"/>
  <c r="C32" i="2" l="1"/>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<sst xmlns="http://schemas.openxmlformats.org/spreadsheetml/2006/main" count="656" uniqueCount="290">
  <si>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</si>
  <si>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</si>
  <si>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</si>
  <si>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</si>
  <si>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</si>
  <si>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</si>
  <si>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</si>
  <si>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</si>
  <si>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</si>
  <si>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</si>
  <si>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</si>
  <si>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</si>
  <si>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</si>
  <si>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</si>
  <si>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</si>
  <si>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</si>
  <si>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</si>
  <si>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</si>
  <si>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</si>
  <si>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</si>
  <si>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</si>
  <si>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</si>
  <si>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</si>
  <si>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</si>
  <si>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</si>
  <si>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</si>
  <si>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</si>
  <si>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</si>
  <si>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</si>
  <si>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</si>
  <si>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</si>
  <si>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</si>
  <si>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</si>
  <si>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</si>
  <si>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</si>
  <si>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</si>
  <si>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</si>
  <si>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</si>
  <si>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</si>
  <si>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</si>
  <si>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</si>
  <si>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</si>
  <si>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</si>
  <si>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</si>
  <si>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</si>
  <si>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</si>
  <si>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</si>
  <si>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</si>
  <si>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</si>
  <si>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</si>
  <si>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</si>
  <si>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</si>
  <si>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</si>
  <si>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</si>
  <si>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</si>
  <si>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</si>
  <si>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</si>
  <si>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</si>
  <si>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</si>
  <si>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</si>
  <si>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</si>
  <si>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</si>
  <si>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</si>
  <si>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</si>
  <si>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</si>
  <si>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</si>
  <si>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</si>
  <si>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</si>
  <si>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</si>
  <si>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</si>
  <si>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</si>
  <si>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</si>
  <si>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</si>
  <si>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</si>
  <si>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</si>
  <si>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</si>
  <si>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</si>
  <si>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</si>
  <si>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</si>
  <si>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</si>
  <si>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</si>
  <si>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</si>
  <si>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</si>
  <si>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</si>
  <si>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</si>
  <si>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</si>
  <si>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</si>
  <si>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</si>
  <si>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</si>
  <si>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</si>
  <si>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</si>
  <si>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</si>
  <si>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</si>
  <si>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</si>
  <si>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</si>
  <si>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</si>
  <si>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</si>
  <si>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</si>
  <si>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</si>
  <si>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</si>
  <si>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</si>
  <si>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</si>
  <si>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</si>
  <si>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</si>
  <si>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</si>
  <si>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</si>
  <si>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</si>
  <si>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</si>
  <si>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</si>
  <si>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</si>
  <si>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</si>
  <si>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</si>
  <si>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</si>
  <si>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</si>
  <si>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</si>
  <si>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</si>
  <si>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</si>
  <si>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</si>
  <si>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</si>
  <si>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</si>
  <si>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</si>
  <si>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</si>
  <si>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</si>
  <si>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</si>
  <si>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</si>
  <si>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</si>
  <si>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</si>
  <si>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</si>
  <si>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</si>
  <si>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</si>
  <si>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</si>
  <si>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</si>
  <si>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</si>
  <si>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</si>
  <si>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</si>
  <si>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</si>
  <si>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</si>
  <si>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</si>
  <si>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</si>
  <si>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</si>
  <si>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</si>
  <si>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</si>
  <si>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</si>
  <si>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</si>
  <si>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</si>
  <si>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</si>
  <si>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</si>
  <si>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</si>
  <si>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</si>
  <si>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</si>
  <si>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</si>
  <si>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</si>
  <si>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</si>
  <si>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</si>
  <si>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</si>
  <si>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</si>
  <si>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</si>
  <si>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</si>
  <si>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</si>
  <si>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</si>
  <si>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</si>
  <si>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</si>
  <si>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</si>
  <si>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</si>
  <si>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</si>
  <si>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</si>
  <si>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</si>
  <si>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</si>
  <si>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</si>
  <si>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</si>
  <si>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</si>
  <si>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</si>
  <si>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</si>
  <si>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</si>
  <si>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</si>
  <si>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</si>
  <si>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</si>
  <si>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</si>
  <si>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</si>
  <si>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</si>
  <si>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</si>
  <si>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</si>
  <si>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</si>
  <si>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</si>
  <si>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</si>
  <si>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</si>
  <si>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</si>
  <si>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</si>
  <si>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</si>
  <si>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</si>
  <si>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</si>
  <si>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</si>
  <si>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</si>
  <si>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</si>
  <si>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</si>
  <si>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</si>
  <si>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</si>
  <si>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</si>
  <si>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</si>
  <si>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</si>
  <si>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</si>
  <si>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</si>
  <si>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</si>
  <si>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</si>
  <si>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</si>
  <si>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</si>
  <si>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</si>
  <si>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</si>
  <si>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</si>
  <si>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</si>
  <si>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</si>
  <si>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</si>
  <si>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</si>
  <si>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</si>
  <si>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</si>
  <si>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</si>
  <si>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</si>
  <si>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</si>
  <si>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</si>
  <si>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</si>
  <si>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</si>
  <si>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</si>
  <si>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</si>
  <si>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</si>
  <si>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</si>
  <si>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</si>
  <si>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</si>
  <si>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</si>
  <si>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</si>
  <si>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</si>
  <si>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</si>
  <si>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</si>
  <si>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</si>
  <si>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</si>
  <si>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</si>
  <si>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</si>
  <si>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</si>
  <si>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</si>
  <si>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</si>
  <si>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</si>
  <si>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</si>
  <si>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</si>
  <si>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</si>
  <si>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</si>
  <si>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</si>
  <si>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</si>
  <si>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</si>
  <si>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</si>
  <si>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</si>
  <si>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</si>
  <si>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</si>
  <si>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</si>
  <si>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</si>
  <si>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</si>
  <si>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</si>
  <si>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</si>
  <si>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</si>
  <si>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</si>
  <si>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</si>
  <si>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</si>
  <si>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</si>
  <si>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</si>
  <si>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</si>
  <si>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</si>
  <si>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</si>
  <si>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</si>
  <si>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</si>
  <si>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</si>
  <si>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</si>
  <si>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</si>
  <si>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</si>
  <si>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</si>
  <si>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Afgift til Forsyningssekretariatet</t>
  </si>
  <si>
    <t>Køb af ydelser og produkter fra andre vandselskaber reguleret af vandsektorloven</t>
  </si>
  <si>
    <t>Erstatninger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</si>
  <si>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</si>
  <si>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</si>
  <si>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</si>
  <si>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</si>
  <si>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</si>
  <si>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</si>
  <si>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</si>
  <si>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</si>
  <si>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</si>
  <si>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</si>
  <si>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</si>
  <si>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</si>
  <si>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Statsligt eller kommunalt fastsatte, pålagte eller godkendte mål</t>
  </si>
  <si>
    <t>Udvidelse af forsyningsområdet eller håndterede vandmængder</t>
  </si>
  <si>
    <t>+ For sen afgørelse, som kan opkræves senest 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</si>
</sst>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 #,##0.00_ ;_ * \-#,##0.00_ ;_ * &quot;-&quot;??_ ;_ @_ "/>
    <numFmt numFmtId="166" formatCode="_ * #,##0_ ;_ * \-#,##0_ ;_ * &quot;-&quot;??_ ;_ @_ "/>
    <numFmt numFmtId="167" formatCode="##,##0"/>
    <numFmt numFmtId="168" formatCode="#,##0_ ;\-#,##0\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8">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7" fontId="8" fillId="0" borderId="1" xfId="1" applyNumberFormat="1" applyFont="1" applyFill="1" applyBorder="1" applyProtection="1"/>
    <xf numFmtId="1" fontId="8" fillId="8" borderId="2" xfId="1" quotePrefix="1" applyNumberFormat="1" applyFont="1" applyFill="1" applyBorder="1" applyAlignment="1" applyProtection="1">
      <alignment horizontal="right" wrapText="1"/>
    </xf>
    <xf numFmtId="3" fontId="8" fillId="8" borderId="3" xfId="0" applyNumberFormat="1" applyFont="1" applyFill="1" applyBorder="1" applyProtection="1"/>
    <xf numFmtId="168" fontId="8" fillId="8" borderId="2" xfId="1" quotePrefix="1" applyNumberFormat="1" applyFont="1" applyFill="1" applyBorder="1" applyAlignment="1" applyProtection="1">
      <alignment horizontal="right" wrapText="1"/>
    </xf>
    <xf numFmtId="3"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2"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7" t="s">
        <v>4</v>
      </c>
      <c r="E6" s="97"/>
      <c r="F6" s="97"/>
      <c r="G6" s="97"/>
      <c r="H6" s="3"/>
      <c r="I6" s="1"/>
    </row>
    <row r="7" spans="1:9" ht="15" customHeight="1" x14ac:dyDescent="0.25">
      <c r="A7" s="1"/>
      <c r="B7" s="1"/>
      <c r="C7" s="3"/>
      <c r="D7" s="97"/>
      <c r="E7" s="97"/>
      <c r="F7" s="97"/>
      <c r="G7" s="97"/>
      <c r="H7" s="3"/>
      <c r="I7" s="1"/>
    </row>
    <row r="8" spans="1:9" ht="15.75" x14ac:dyDescent="0.25">
      <c r="A8" s="1"/>
      <c r="B8" s="1"/>
      <c r="C8" s="4"/>
      <c r="D8" s="105" t="s">
        <v>252</v>
      </c>
      <c r="E8" s="105"/>
      <c r="F8" s="105"/>
      <c r="G8" s="10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4" t="s">
        <v>5</v>
      </c>
      <c r="E11" s="104"/>
      <c r="F11" s="104"/>
      <c r="G11" s="104"/>
      <c r="H11" s="5"/>
      <c r="I11" s="1"/>
    </row>
    <row r="12" spans="1:9" x14ac:dyDescent="0.25">
      <c r="A12" s="1"/>
      <c r="B12" s="1"/>
      <c r="C12" s="1"/>
      <c r="D12" s="1"/>
      <c r="E12" s="1"/>
      <c r="F12" s="1"/>
      <c r="G12" s="1"/>
      <c r="H12" s="5"/>
      <c r="I12" s="1"/>
    </row>
    <row r="13" spans="1:9" x14ac:dyDescent="0.25">
      <c r="A13" s="1"/>
      <c r="B13" s="1"/>
      <c r="C13" s="6" t="s">
        <v>6</v>
      </c>
      <c r="D13" s="109" t="s">
        <v>196</v>
      </c>
      <c r="E13" s="110"/>
      <c r="F13" s="110"/>
      <c r="G13" s="111"/>
      <c r="H13" s="5"/>
      <c r="I13" s="1"/>
    </row>
    <row r="14" spans="1:9" x14ac:dyDescent="0.25">
      <c r="A14" s="1"/>
      <c r="B14" s="1"/>
      <c r="C14" s="6" t="s">
        <v>16</v>
      </c>
      <c r="D14" s="94" t="s">
        <v>197</v>
      </c>
      <c r="E14" s="95"/>
      <c r="F14" s="95"/>
      <c r="G14" s="96"/>
      <c r="H14" s="5"/>
      <c r="I14" s="1"/>
    </row>
    <row r="15" spans="1:9" x14ac:dyDescent="0.25">
      <c r="A15" s="1"/>
      <c r="B15" s="1"/>
      <c r="C15" s="6" t="s">
        <v>31</v>
      </c>
      <c r="D15" s="94" t="s">
        <v>262</v>
      </c>
      <c r="E15" s="95"/>
      <c r="F15" s="95"/>
      <c r="G15" s="96"/>
      <c r="H15" s="5"/>
      <c r="I15" s="1"/>
    </row>
    <row r="16" spans="1:9" x14ac:dyDescent="0.25">
      <c r="A16" s="1"/>
      <c r="B16" s="1"/>
      <c r="C16" s="6" t="s">
        <v>32</v>
      </c>
      <c r="D16" s="94" t="s">
        <v>263</v>
      </c>
      <c r="E16" s="95"/>
      <c r="F16" s="95"/>
      <c r="G16" s="96"/>
      <c r="H16" s="5"/>
      <c r="I16" s="1"/>
    </row>
    <row r="17" spans="1:9" x14ac:dyDescent="0.25">
      <c r="A17" s="1"/>
      <c r="B17" s="1"/>
      <c r="C17" s="6" t="s">
        <v>101</v>
      </c>
      <c r="D17" s="94" t="s">
        <v>198</v>
      </c>
      <c r="E17" s="95"/>
      <c r="F17" s="95"/>
      <c r="G17" s="96"/>
      <c r="H17" s="5"/>
      <c r="I17" s="1"/>
    </row>
    <row r="18" spans="1:9" x14ac:dyDescent="0.25">
      <c r="A18" s="1"/>
      <c r="B18" s="1"/>
      <c r="C18" s="6" t="s">
        <v>88</v>
      </c>
      <c r="D18" s="106" t="s">
        <v>79</v>
      </c>
      <c r="E18" s="107"/>
      <c r="F18" s="107"/>
      <c r="G18" s="108"/>
      <c r="H18" s="5"/>
      <c r="I18" s="1"/>
    </row>
    <row r="19" spans="1:9" x14ac:dyDescent="0.25">
      <c r="A19" s="1"/>
      <c r="B19" s="1"/>
      <c r="C19" s="6" t="s">
        <v>89</v>
      </c>
      <c r="D19" s="106" t="s">
        <v>80</v>
      </c>
      <c r="E19" s="107"/>
      <c r="F19" s="107"/>
      <c r="G19" s="108"/>
      <c r="H19" s="5"/>
      <c r="I19" s="1"/>
    </row>
    <row r="20" spans="1:9" x14ac:dyDescent="0.25">
      <c r="A20" s="1"/>
      <c r="B20" s="1"/>
      <c r="C20" s="6" t="s">
        <v>7</v>
      </c>
      <c r="D20" s="106" t="s">
        <v>10</v>
      </c>
      <c r="E20" s="107"/>
      <c r="F20" s="107"/>
      <c r="G20" s="108"/>
      <c r="H20" s="5"/>
      <c r="I20" s="1"/>
    </row>
    <row r="21" spans="1:9" x14ac:dyDescent="0.25">
      <c r="A21" s="1"/>
      <c r="B21" s="1"/>
      <c r="C21" s="6" t="s">
        <v>90</v>
      </c>
      <c r="D21" s="98" t="s">
        <v>12</v>
      </c>
      <c r="E21" s="99"/>
      <c r="F21" s="99"/>
      <c r="G21" s="100"/>
      <c r="H21" s="5"/>
      <c r="I21" s="1"/>
    </row>
    <row r="22" spans="1:9" x14ac:dyDescent="0.25">
      <c r="A22" s="1"/>
      <c r="B22" s="1"/>
      <c r="C22" s="6" t="s">
        <v>71</v>
      </c>
      <c r="D22" s="101" t="s">
        <v>199</v>
      </c>
      <c r="E22" s="102"/>
      <c r="F22" s="102"/>
      <c r="G22" s="103"/>
      <c r="H22" s="5"/>
      <c r="I22" s="1"/>
    </row>
    <row r="23" spans="1:9" x14ac:dyDescent="0.25">
      <c r="A23" s="1"/>
      <c r="B23" s="1"/>
      <c r="C23" s="6" t="s">
        <v>8</v>
      </c>
      <c r="D23" s="101" t="s">
        <v>181</v>
      </c>
      <c r="E23" s="102"/>
      <c r="F23" s="102"/>
      <c r="G23" s="103"/>
      <c r="H23" s="5"/>
      <c r="I23" s="1"/>
    </row>
    <row r="24" spans="1:9" x14ac:dyDescent="0.25">
      <c r="A24" s="1"/>
      <c r="B24" s="1"/>
      <c r="C24" s="6" t="s">
        <v>9</v>
      </c>
      <c r="D24" s="101" t="s">
        <v>200</v>
      </c>
      <c r="E24" s="102"/>
      <c r="F24" s="102"/>
      <c r="G24" s="103"/>
      <c r="H24" s="5"/>
      <c r="I24" s="1"/>
    </row>
    <row r="25" spans="1:9" x14ac:dyDescent="0.25">
      <c r="A25" s="1"/>
      <c r="B25" s="1"/>
      <c r="C25" s="6" t="s">
        <v>166</v>
      </c>
      <c r="D25" s="101" t="s">
        <v>160</v>
      </c>
      <c r="E25" s="102"/>
      <c r="F25" s="102"/>
      <c r="G25" s="103"/>
      <c r="H25" s="1"/>
      <c r="I25" s="1"/>
    </row>
    <row r="26" spans="1:9" x14ac:dyDescent="0.25">
      <c r="A26" s="1"/>
      <c r="B26" s="1"/>
      <c r="C26" s="6" t="s">
        <v>167</v>
      </c>
      <c r="D26" s="101" t="s">
        <v>72</v>
      </c>
      <c r="E26" s="102"/>
      <c r="F26" s="102"/>
      <c r="G26" s="103"/>
      <c r="H26" s="1"/>
      <c r="I26" s="1"/>
    </row>
    <row r="27" spans="1:9" x14ac:dyDescent="0.25">
      <c r="A27" s="1"/>
      <c r="B27" s="1"/>
      <c r="C27" s="6" t="s">
        <v>168</v>
      </c>
      <c r="D27" s="101" t="s">
        <v>73</v>
      </c>
      <c r="E27" s="102"/>
      <c r="F27" s="102"/>
      <c r="G27" s="103"/>
      <c r="H27" s="1"/>
      <c r="I27" s="1"/>
    </row>
    <row r="28" spans="1:9" x14ac:dyDescent="0.25">
      <c r="A28" s="1"/>
      <c r="B28" s="1"/>
      <c r="C28" s="6" t="s">
        <v>15</v>
      </c>
      <c r="D28" s="101" t="s">
        <v>74</v>
      </c>
      <c r="E28" s="102"/>
      <c r="F28" s="102"/>
      <c r="G28" s="103"/>
      <c r="H28" s="1"/>
      <c r="I28" s="1"/>
    </row>
    <row r="29" spans="1:9" x14ac:dyDescent="0.25">
      <c r="A29" s="1"/>
      <c r="B29" s="1"/>
      <c r="C29" s="6" t="s">
        <v>34</v>
      </c>
      <c r="D29" s="101" t="s">
        <v>114</v>
      </c>
      <c r="E29" s="102"/>
      <c r="F29" s="102"/>
      <c r="G29" s="103"/>
      <c r="H29" s="1"/>
      <c r="I29" s="1"/>
    </row>
    <row r="30" spans="1:9" x14ac:dyDescent="0.25">
      <c r="A30" s="1"/>
      <c r="B30" s="1"/>
      <c r="C30" s="6" t="s">
        <v>35</v>
      </c>
      <c r="D30" s="101" t="s">
        <v>33</v>
      </c>
      <c r="E30" s="102"/>
      <c r="F30" s="102"/>
      <c r="G30" s="103"/>
      <c r="H30" s="1"/>
      <c r="I30" s="1"/>
    </row>
    <row r="31" spans="1:9" x14ac:dyDescent="0.25">
      <c r="A31" s="1"/>
      <c r="B31" s="1"/>
      <c r="C31" s="6" t="s">
        <v>169</v>
      </c>
      <c r="D31" s="112" t="s">
        <v>87</v>
      </c>
      <c r="E31" s="113"/>
      <c r="F31" s="113"/>
      <c r="G31" s="114"/>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JQKWJTgxgWT0WDYSoqy5g/zg6/3rSUkoWs2/mTmZr5jy/9Vo8vfXf1vasAGl6GxTrfWtkNqW3jxHS+T8LuczPA==" saltValue="jFrHIyoThiZ7OIlNQoU/4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5" t="s">
        <v>93</v>
      </c>
      <c r="C3" s="115"/>
      <c r="D3" s="115"/>
      <c r="E3" s="1"/>
      <c r="F3" s="1"/>
    </row>
    <row r="4" spans="1:6" ht="15" customHeight="1" x14ac:dyDescent="0.25">
      <c r="A4" s="1"/>
      <c r="B4" s="115"/>
      <c r="C4" s="115"/>
      <c r="D4" s="115"/>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2" t="s">
        <v>224</v>
      </c>
      <c r="C8" s="123"/>
      <c r="D8" s="124"/>
      <c r="E8" s="1"/>
      <c r="F8" s="1"/>
    </row>
    <row r="9" spans="1:6" ht="15" customHeight="1" x14ac:dyDescent="0.25">
      <c r="A9" s="1"/>
      <c r="B9" s="27" t="s">
        <v>29</v>
      </c>
      <c r="C9" s="50" t="s">
        <v>225</v>
      </c>
      <c r="D9" s="11"/>
      <c r="E9" s="1"/>
      <c r="F9" s="1"/>
    </row>
    <row r="10" spans="1:6" ht="15" customHeight="1" x14ac:dyDescent="0.25">
      <c r="A10" s="1"/>
      <c r="B10" s="85" t="s">
        <v>272</v>
      </c>
      <c r="C10" s="9">
        <v>97291</v>
      </c>
      <c r="D10" s="14" t="s">
        <v>3</v>
      </c>
      <c r="E10" s="1"/>
      <c r="F10" s="1"/>
    </row>
    <row r="11" spans="1:6" ht="26.25" x14ac:dyDescent="0.25">
      <c r="A11" s="1"/>
      <c r="B11" s="29" t="s">
        <v>273</v>
      </c>
      <c r="C11" s="9">
        <v>21558843</v>
      </c>
      <c r="D11" s="14" t="s">
        <v>3</v>
      </c>
      <c r="E11" s="1"/>
      <c r="F11" s="1"/>
    </row>
    <row r="12" spans="1:6" x14ac:dyDescent="0.25">
      <c r="A12" s="1"/>
      <c r="B12" s="85" t="s">
        <v>274</v>
      </c>
      <c r="C12" s="9">
        <v>106790</v>
      </c>
      <c r="D12" s="14" t="s">
        <v>3</v>
      </c>
      <c r="E12" s="1"/>
      <c r="F12" s="1"/>
    </row>
    <row r="13" spans="1:6" x14ac:dyDescent="0.25">
      <c r="A13" s="1"/>
      <c r="B13" s="85"/>
      <c r="C13" s="9"/>
      <c r="D13" s="14" t="s">
        <v>3</v>
      </c>
      <c r="E13" s="1"/>
      <c r="F13" s="1"/>
    </row>
    <row r="14" spans="1:6" x14ac:dyDescent="0.25">
      <c r="A14" s="1"/>
      <c r="B14" s="85"/>
      <c r="C14" s="9"/>
      <c r="D14" s="14" t="s">
        <v>3</v>
      </c>
      <c r="E14" s="1"/>
      <c r="F14" s="1"/>
    </row>
    <row r="15" spans="1:6" x14ac:dyDescent="0.25">
      <c r="A15" s="1"/>
      <c r="B15" s="85"/>
      <c r="C15" s="9"/>
      <c r="D15" s="14" t="s">
        <v>3</v>
      </c>
      <c r="E15" s="1"/>
      <c r="F15" s="1"/>
    </row>
    <row r="16" spans="1:6" x14ac:dyDescent="0.25">
      <c r="A16" s="1"/>
      <c r="B16" s="85"/>
      <c r="C16" s="9"/>
      <c r="D16" s="14" t="s">
        <v>3</v>
      </c>
      <c r="E16" s="1"/>
      <c r="F16" s="1"/>
    </row>
    <row r="17" spans="1:6" x14ac:dyDescent="0.25">
      <c r="A17" s="1"/>
      <c r="B17" s="85"/>
      <c r="C17" s="9"/>
      <c r="D17" s="14" t="s">
        <v>3</v>
      </c>
      <c r="E17" s="1"/>
      <c r="F17" s="1"/>
    </row>
    <row r="18" spans="1:6" x14ac:dyDescent="0.25">
      <c r="A18" s="1"/>
      <c r="B18" s="85"/>
      <c r="C18" s="9"/>
      <c r="D18" s="14" t="s">
        <v>3</v>
      </c>
      <c r="E18" s="1"/>
      <c r="F18" s="1"/>
    </row>
    <row r="19" spans="1:6" x14ac:dyDescent="0.25">
      <c r="A19" s="1"/>
      <c r="B19" s="85"/>
      <c r="C19" s="9"/>
      <c r="D19" s="14" t="s">
        <v>3</v>
      </c>
      <c r="E19" s="1"/>
      <c r="F19" s="1"/>
    </row>
    <row r="20" spans="1:6" x14ac:dyDescent="0.25">
      <c r="A20" s="1"/>
      <c r="B20" s="33" t="s">
        <v>226</v>
      </c>
      <c r="C20" s="12">
        <f>SUM(C10:C19)</f>
        <v>21762924</v>
      </c>
      <c r="D20" s="13" t="s">
        <v>3</v>
      </c>
      <c r="E20" s="1"/>
      <c r="F20" s="1"/>
    </row>
    <row r="21" spans="1:6" x14ac:dyDescent="0.25">
      <c r="A21" s="1"/>
      <c r="B21" s="33" t="s">
        <v>227</v>
      </c>
      <c r="C21" s="12">
        <f>C20*(1+'Fane 15. Nøgletal'!C16)^2</f>
        <v>25421894.814543359</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22" t="s">
        <v>99</v>
      </c>
      <c r="C24" s="123"/>
      <c r="D24" s="124"/>
      <c r="E24" s="1"/>
      <c r="F24" s="1"/>
    </row>
    <row r="25" spans="1:6" x14ac:dyDescent="0.25">
      <c r="A25" s="1"/>
      <c r="B25" s="85" t="s">
        <v>109</v>
      </c>
      <c r="C25" s="9">
        <v>0</v>
      </c>
      <c r="D25" s="14" t="s">
        <v>3</v>
      </c>
      <c r="E25" s="1"/>
      <c r="F25" s="1"/>
    </row>
    <row r="26" spans="1:6" x14ac:dyDescent="0.25">
      <c r="A26" s="1"/>
      <c r="B26" s="85" t="s">
        <v>123</v>
      </c>
      <c r="C26" s="9">
        <v>0</v>
      </c>
      <c r="D26" s="14" t="s">
        <v>3</v>
      </c>
      <c r="E26" s="1"/>
      <c r="F26" s="1"/>
    </row>
    <row r="27" spans="1:6" x14ac:dyDescent="0.25">
      <c r="A27" s="1"/>
      <c r="B27" s="85" t="s">
        <v>142</v>
      </c>
      <c r="C27" s="9">
        <v>0</v>
      </c>
      <c r="D27" s="14" t="s">
        <v>3</v>
      </c>
      <c r="E27" s="1"/>
      <c r="F27" s="1"/>
    </row>
    <row r="28" spans="1:6" x14ac:dyDescent="0.25">
      <c r="A28" s="1"/>
      <c r="B28" s="34" t="s">
        <v>261</v>
      </c>
      <c r="C28" s="9">
        <v>0</v>
      </c>
      <c r="D28" s="38" t="s">
        <v>3</v>
      </c>
      <c r="E28" s="1"/>
      <c r="F28" s="1"/>
    </row>
    <row r="29" spans="1:6" x14ac:dyDescent="0.25">
      <c r="A29" s="1"/>
      <c r="B29" s="122"/>
      <c r="C29" s="123"/>
      <c r="D29" s="124"/>
      <c r="E29" s="1"/>
      <c r="F29" s="1"/>
    </row>
    <row r="30" spans="1:6" x14ac:dyDescent="0.25">
      <c r="A30" s="1"/>
      <c r="B30" s="1"/>
      <c r="C30" s="1"/>
      <c r="D30" s="1"/>
      <c r="E30" s="1"/>
      <c r="F30" s="1"/>
    </row>
    <row r="31" spans="1:6" x14ac:dyDescent="0.25">
      <c r="A31" s="1"/>
      <c r="B31" s="1"/>
      <c r="C31" s="1"/>
      <c r="D31" s="1"/>
      <c r="E31" s="1"/>
      <c r="F31" s="1"/>
    </row>
    <row r="32" spans="1:6" x14ac:dyDescent="0.25">
      <c r="A32" s="1"/>
      <c r="B32" s="122" t="s">
        <v>81</v>
      </c>
      <c r="C32" s="123"/>
      <c r="D32" s="124"/>
      <c r="E32" s="1"/>
      <c r="F32" s="1"/>
    </row>
    <row r="33" spans="1:6" x14ac:dyDescent="0.25">
      <c r="A33" s="1"/>
      <c r="B33" s="85" t="s">
        <v>109</v>
      </c>
      <c r="C33" s="9">
        <v>978519</v>
      </c>
      <c r="D33" s="14" t="s">
        <v>3</v>
      </c>
      <c r="E33" s="1"/>
      <c r="F33" s="1"/>
    </row>
    <row r="34" spans="1:6" x14ac:dyDescent="0.25">
      <c r="A34" s="1"/>
      <c r="B34" s="85" t="s">
        <v>123</v>
      </c>
      <c r="C34" s="9">
        <v>978519</v>
      </c>
      <c r="D34" s="14" t="s">
        <v>3</v>
      </c>
      <c r="E34" s="1"/>
      <c r="F34" s="1"/>
    </row>
    <row r="35" spans="1:6" x14ac:dyDescent="0.25">
      <c r="A35" s="1"/>
      <c r="B35" s="85" t="s">
        <v>142</v>
      </c>
      <c r="C35" s="9">
        <v>978519</v>
      </c>
      <c r="D35" s="14" t="s">
        <v>3</v>
      </c>
      <c r="E35" s="1"/>
      <c r="F35" s="1"/>
    </row>
    <row r="36" spans="1:6" x14ac:dyDescent="0.25">
      <c r="A36" s="1"/>
      <c r="B36" s="34" t="s">
        <v>261</v>
      </c>
      <c r="C36" s="9">
        <v>0</v>
      </c>
      <c r="D36" s="38" t="s">
        <v>3</v>
      </c>
      <c r="E36" s="1"/>
      <c r="F36" s="1"/>
    </row>
    <row r="37" spans="1:6" x14ac:dyDescent="0.25">
      <c r="A37" s="1"/>
      <c r="B37" s="122"/>
      <c r="C37" s="123"/>
      <c r="D37" s="124"/>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TcKYpFUWTGtaIXy7mZVDTyOMbRdt/pXDdvj4u9UbBJq36sce/aVk6eLUc0LCow7XBfeh6SMU6jNx0wHjvn99TA==" saltValue="0WMhgCJfr/OOitVAXIMqp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8511F-B74E-4AB8-8CB7-D866D9214C79}">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8" t="s">
        <v>206</v>
      </c>
      <c r="C3" s="118"/>
      <c r="D3" s="118"/>
      <c r="E3" s="118"/>
      <c r="F3" s="118"/>
      <c r="G3" s="1"/>
    </row>
    <row r="4" spans="1:7" ht="15" customHeight="1" x14ac:dyDescent="0.25">
      <c r="A4" s="1"/>
      <c r="B4" s="118"/>
      <c r="C4" s="118"/>
      <c r="D4" s="118"/>
      <c r="E4" s="118"/>
      <c r="F4" s="118"/>
      <c r="G4" s="1"/>
    </row>
    <row r="5" spans="1:7" ht="15" customHeight="1" x14ac:dyDescent="0.25">
      <c r="A5" s="1"/>
      <c r="B5" s="78"/>
      <c r="C5" s="78"/>
      <c r="D5" s="78"/>
      <c r="E5" s="78"/>
      <c r="F5" s="78"/>
      <c r="G5" s="1"/>
    </row>
    <row r="6" spans="1:7" ht="15" customHeight="1" x14ac:dyDescent="0.25">
      <c r="A6" s="1"/>
      <c r="B6" s="78"/>
      <c r="C6" s="78"/>
      <c r="D6" s="78"/>
      <c r="E6" s="78"/>
      <c r="F6" s="78"/>
      <c r="G6" s="1"/>
    </row>
    <row r="7" spans="1:7" ht="15" customHeight="1" x14ac:dyDescent="0.25">
      <c r="A7" s="1"/>
      <c r="B7" s="1"/>
      <c r="C7" s="1"/>
      <c r="D7" s="1"/>
      <c r="E7" s="1"/>
      <c r="F7" s="1"/>
      <c r="G7" s="1"/>
    </row>
    <row r="8" spans="1:7" ht="15" customHeight="1" x14ac:dyDescent="0.25">
      <c r="A8" s="1"/>
      <c r="B8" s="122" t="s">
        <v>137</v>
      </c>
      <c r="C8" s="123"/>
      <c r="D8" s="123"/>
      <c r="E8" s="123"/>
      <c r="F8" s="124"/>
      <c r="G8" s="1"/>
    </row>
    <row r="9" spans="1:7" ht="15" customHeight="1" x14ac:dyDescent="0.25">
      <c r="A9" s="1"/>
      <c r="B9" s="125" t="s">
        <v>275</v>
      </c>
      <c r="C9" s="126"/>
      <c r="D9" s="127"/>
      <c r="E9" s="9">
        <v>22081519</v>
      </c>
      <c r="F9" s="14" t="s">
        <v>3</v>
      </c>
      <c r="G9" s="1"/>
    </row>
    <row r="10" spans="1:7" ht="15" customHeight="1" x14ac:dyDescent="0.25">
      <c r="A10" s="1"/>
      <c r="B10" s="125" t="s">
        <v>143</v>
      </c>
      <c r="C10" s="126"/>
      <c r="D10" s="127"/>
      <c r="E10" s="9">
        <v>16773765.156012297</v>
      </c>
      <c r="F10" s="14" t="s">
        <v>3</v>
      </c>
      <c r="G10" s="1"/>
    </row>
    <row r="11" spans="1:7" ht="15" customHeight="1" x14ac:dyDescent="0.25">
      <c r="A11" s="1"/>
      <c r="B11" s="125" t="s">
        <v>276</v>
      </c>
      <c r="C11" s="126"/>
      <c r="D11" s="127"/>
      <c r="E11" s="9">
        <v>879019.28833404183</v>
      </c>
      <c r="F11" s="14" t="s">
        <v>3</v>
      </c>
      <c r="G11" s="1"/>
    </row>
    <row r="12" spans="1:7" x14ac:dyDescent="0.25">
      <c r="A12" s="1"/>
      <c r="B12" s="33"/>
      <c r="C12" s="28"/>
      <c r="D12" s="28"/>
      <c r="E12" s="28"/>
      <c r="F12" s="19"/>
      <c r="G12" s="1"/>
    </row>
    <row r="13" spans="1:7" ht="42" customHeight="1" x14ac:dyDescent="0.25">
      <c r="A13" s="1"/>
      <c r="B13" s="119" t="s">
        <v>277</v>
      </c>
      <c r="C13" s="120"/>
      <c r="D13" s="120"/>
      <c r="E13" s="120"/>
      <c r="F13" s="121"/>
      <c r="G13" s="1"/>
    </row>
    <row r="14" spans="1:7" ht="15" customHeight="1" x14ac:dyDescent="0.25">
      <c r="A14" s="1"/>
      <c r="B14" s="1"/>
      <c r="C14" s="1"/>
      <c r="D14" s="1"/>
      <c r="E14" s="1"/>
      <c r="F14" s="1"/>
      <c r="G14" s="1"/>
    </row>
    <row r="15" spans="1:7" x14ac:dyDescent="0.25">
      <c r="A15" s="1"/>
      <c r="B15" s="79" t="s">
        <v>278</v>
      </c>
      <c r="C15" s="80"/>
      <c r="D15" s="80"/>
      <c r="E15" s="80"/>
      <c r="F15" s="81"/>
      <c r="G15" s="1"/>
    </row>
    <row r="16" spans="1:7" x14ac:dyDescent="0.25">
      <c r="A16" s="1"/>
      <c r="B16" s="82" t="s">
        <v>279</v>
      </c>
      <c r="C16" s="83"/>
      <c r="D16" s="84"/>
      <c r="E16" s="9">
        <f>IF(E11&lt;0,E11,0)</f>
        <v>0</v>
      </c>
      <c r="F16" s="14" t="s">
        <v>3</v>
      </c>
      <c r="G16" s="1"/>
    </row>
    <row r="17" spans="1:7" x14ac:dyDescent="0.25">
      <c r="A17" s="1"/>
      <c r="B17" s="82" t="s">
        <v>280</v>
      </c>
      <c r="C17" s="83"/>
      <c r="D17" s="84"/>
      <c r="E17" s="9">
        <f>IF(SUM(E10)&gt;0,SUM(E10),0)</f>
        <v>16773765.156012297</v>
      </c>
      <c r="F17" s="14" t="s">
        <v>3</v>
      </c>
      <c r="G17" s="1"/>
    </row>
    <row r="18" spans="1:7" x14ac:dyDescent="0.25">
      <c r="A18" s="1"/>
      <c r="B18" s="87" t="s">
        <v>281</v>
      </c>
      <c r="C18" s="88"/>
      <c r="D18" s="89"/>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9" t="s">
        <v>282</v>
      </c>
      <c r="C21" s="80"/>
      <c r="D21" s="80"/>
      <c r="E21" s="80"/>
      <c r="F21" s="81"/>
      <c r="G21" s="1"/>
    </row>
    <row r="22" spans="1:7" x14ac:dyDescent="0.25">
      <c r="A22" s="1"/>
      <c r="B22" s="82" t="s">
        <v>283</v>
      </c>
      <c r="C22" s="83"/>
      <c r="D22" s="84"/>
      <c r="E22" s="9">
        <v>80055689.12544471</v>
      </c>
      <c r="F22" s="14" t="s">
        <v>3</v>
      </c>
      <c r="G22" s="1"/>
    </row>
    <row r="23" spans="1:7" x14ac:dyDescent="0.25">
      <c r="A23" s="1"/>
      <c r="B23" s="82" t="s">
        <v>284</v>
      </c>
      <c r="C23" s="83"/>
      <c r="D23" s="84"/>
      <c r="E23" s="9">
        <v>74750833</v>
      </c>
      <c r="F23" s="14" t="s">
        <v>3</v>
      </c>
      <c r="G23" s="1"/>
    </row>
    <row r="24" spans="1:7" x14ac:dyDescent="0.25">
      <c r="A24" s="1"/>
      <c r="B24" s="82" t="s">
        <v>30</v>
      </c>
      <c r="C24" s="83"/>
      <c r="D24" s="84"/>
      <c r="E24" s="9">
        <v>0</v>
      </c>
      <c r="F24" s="14" t="s">
        <v>3</v>
      </c>
      <c r="G24" s="1"/>
    </row>
    <row r="25" spans="1:7" x14ac:dyDescent="0.25">
      <c r="A25" s="1"/>
      <c r="B25" s="86" t="s">
        <v>289</v>
      </c>
      <c r="C25" s="83"/>
      <c r="D25" s="84"/>
      <c r="E25" s="74">
        <v>911</v>
      </c>
      <c r="F25" s="14" t="s">
        <v>3</v>
      </c>
      <c r="G25" s="1"/>
    </row>
    <row r="26" spans="1:7" x14ac:dyDescent="0.25">
      <c r="A26" s="1"/>
      <c r="B26" s="87" t="s">
        <v>285</v>
      </c>
      <c r="C26" s="88"/>
      <c r="D26" s="89"/>
      <c r="E26" s="62">
        <f>E22-E23-E24+E25</f>
        <v>5305767.1254447103</v>
      </c>
      <c r="F26" s="17" t="s">
        <v>3</v>
      </c>
      <c r="G26" s="1"/>
    </row>
    <row r="27" spans="1:7" x14ac:dyDescent="0.25">
      <c r="A27" s="1"/>
      <c r="B27" s="33"/>
      <c r="C27" s="28"/>
      <c r="D27" s="28"/>
      <c r="E27" s="28"/>
      <c r="F27" s="19"/>
      <c r="G27" s="1"/>
    </row>
    <row r="28" spans="1:7" x14ac:dyDescent="0.25">
      <c r="A28" s="1"/>
      <c r="B28" s="1"/>
      <c r="C28" s="1"/>
      <c r="D28" s="1"/>
      <c r="E28" s="1"/>
      <c r="F28" s="1"/>
      <c r="G28" s="1"/>
    </row>
    <row r="29" spans="1:7" x14ac:dyDescent="0.25">
      <c r="A29" s="1"/>
      <c r="B29" s="122" t="s">
        <v>286</v>
      </c>
      <c r="C29" s="123"/>
      <c r="D29" s="123"/>
      <c r="E29" s="123"/>
      <c r="F29" s="124"/>
      <c r="G29" s="1"/>
    </row>
    <row r="30" spans="1:7" x14ac:dyDescent="0.25">
      <c r="A30" s="1"/>
      <c r="B30" s="140" t="s">
        <v>116</v>
      </c>
      <c r="C30" s="141"/>
      <c r="D30" s="142"/>
      <c r="E30" s="9">
        <f>IF(E18&lt;0,IF(E26&lt;0,SUM(E18,E26),IF(E10&gt;0,SUM(E10:E11),E18)),IF(AND(E26&lt;0,SUM(E26,E11)&lt;0),IF(E11&lt;0,E26,IF(SUM(E10:E11)&gt;0,SUM(E26,E11),IF(AND(E26&lt;0,E18=0,E11&gt;0),IF(SUM(E9:E11)&gt;0,E26+E11,E26)))),0))</f>
        <v>0</v>
      </c>
      <c r="F30" s="14" t="s">
        <v>3</v>
      </c>
      <c r="G30" s="1"/>
    </row>
    <row r="31" spans="1:7" x14ac:dyDescent="0.25">
      <c r="A31" s="1"/>
      <c r="B31" s="140" t="s">
        <v>84</v>
      </c>
      <c r="C31" s="141"/>
      <c r="D31" s="142"/>
      <c r="E31" s="9">
        <v>2</v>
      </c>
      <c r="F31" s="14" t="s">
        <v>20</v>
      </c>
      <c r="G31" s="1"/>
    </row>
    <row r="32" spans="1:7" x14ac:dyDescent="0.25">
      <c r="A32" s="1"/>
      <c r="B32" s="143" t="s">
        <v>117</v>
      </c>
      <c r="C32" s="144"/>
      <c r="D32" s="145"/>
      <c r="E32" s="10">
        <f>E30/E31</f>
        <v>0</v>
      </c>
      <c r="F32" s="17" t="s">
        <v>3</v>
      </c>
      <c r="G32" s="1"/>
    </row>
    <row r="33" spans="1:7" x14ac:dyDescent="0.25">
      <c r="A33" s="1"/>
      <c r="B33" s="137"/>
      <c r="C33" s="138"/>
      <c r="D33" s="138"/>
      <c r="E33" s="138"/>
      <c r="F33" s="139"/>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1x7yaw+SRPKvKygm4abL9YkWx8tBYEnCYi9WOV9JxabTqlbCyxOMbVoJx38uq53HuzffzUscXoefHoaM4Ll23A==" saltValue="GwIbwk68VQRWN1xFGbA6Vg==" spinCount="100000" sheet="1" objects="1" scenarios="1"/>
  <mergeCells count="11">
    <mergeCell ref="B13:F13"/>
    <mergeCell ref="B3:F4"/>
    <mergeCell ref="B8:F8"/>
    <mergeCell ref="B9:D9"/>
    <mergeCell ref="B10:D10"/>
    <mergeCell ref="B11:D11"/>
    <mergeCell ref="B33:F33"/>
    <mergeCell ref="B30:D30"/>
    <mergeCell ref="B31:D31"/>
    <mergeCell ref="B29:F29"/>
    <mergeCell ref="B32:D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5" t="s">
        <v>170</v>
      </c>
      <c r="C3" s="115"/>
      <c r="D3" s="115"/>
      <c r="E3" s="115"/>
      <c r="F3" s="115"/>
      <c r="G3" s="115"/>
      <c r="H3" s="115"/>
      <c r="I3" s="1"/>
    </row>
    <row r="4" spans="1:9" ht="15" customHeight="1" x14ac:dyDescent="0.25">
      <c r="A4" s="1"/>
      <c r="B4" s="115"/>
      <c r="C4" s="115"/>
      <c r="D4" s="115"/>
      <c r="E4" s="115"/>
      <c r="F4" s="115"/>
      <c r="G4" s="115"/>
      <c r="H4" s="115"/>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2" t="s">
        <v>189</v>
      </c>
      <c r="C8" s="123"/>
      <c r="D8" s="123"/>
      <c r="E8" s="123"/>
      <c r="F8" s="123"/>
      <c r="G8" s="123"/>
      <c r="H8" s="124"/>
      <c r="I8" s="1"/>
    </row>
    <row r="9" spans="1:9" ht="15" customHeight="1" x14ac:dyDescent="0.25">
      <c r="A9" s="1"/>
      <c r="B9" s="149" t="s">
        <v>171</v>
      </c>
      <c r="C9" s="150"/>
      <c r="D9" s="150"/>
      <c r="E9" s="150"/>
      <c r="F9" s="150"/>
      <c r="G9" s="150"/>
      <c r="H9" s="151"/>
      <c r="I9" s="1"/>
    </row>
    <row r="10" spans="1:9" x14ac:dyDescent="0.25">
      <c r="A10" s="1"/>
      <c r="B10" s="146" t="s">
        <v>172</v>
      </c>
      <c r="C10" s="147"/>
      <c r="D10" s="147"/>
      <c r="E10" s="147"/>
      <c r="F10" s="148"/>
      <c r="G10" s="9">
        <v>0</v>
      </c>
      <c r="H10" s="9" t="s">
        <v>3</v>
      </c>
      <c r="I10" s="1"/>
    </row>
    <row r="11" spans="1:9" x14ac:dyDescent="0.25">
      <c r="A11" s="1"/>
      <c r="B11" s="146" t="s">
        <v>173</v>
      </c>
      <c r="C11" s="147"/>
      <c r="D11" s="147"/>
      <c r="E11" s="147"/>
      <c r="F11" s="148"/>
      <c r="G11" s="9">
        <v>0</v>
      </c>
      <c r="H11" s="9" t="s">
        <v>3</v>
      </c>
      <c r="I11" s="1"/>
    </row>
    <row r="12" spans="1:9" x14ac:dyDescent="0.25">
      <c r="A12" s="1"/>
      <c r="B12" s="146" t="s">
        <v>174</v>
      </c>
      <c r="C12" s="147"/>
      <c r="D12" s="147"/>
      <c r="E12" s="147"/>
      <c r="F12" s="148"/>
      <c r="G12" s="9">
        <v>0</v>
      </c>
      <c r="H12" s="9" t="s">
        <v>3</v>
      </c>
      <c r="I12" s="1"/>
    </row>
    <row r="13" spans="1:9" x14ac:dyDescent="0.25">
      <c r="A13" s="1"/>
      <c r="B13" s="146" t="s">
        <v>175</v>
      </c>
      <c r="C13" s="147"/>
      <c r="D13" s="147"/>
      <c r="E13" s="147"/>
      <c r="F13" s="148"/>
      <c r="G13" s="9">
        <v>0</v>
      </c>
      <c r="H13" s="9" t="s">
        <v>3</v>
      </c>
      <c r="I13" s="1"/>
    </row>
    <row r="14" spans="1:9" x14ac:dyDescent="0.25">
      <c r="A14" s="1"/>
      <c r="B14" s="146" t="s">
        <v>176</v>
      </c>
      <c r="C14" s="147"/>
      <c r="D14" s="147"/>
      <c r="E14" s="147"/>
      <c r="F14" s="148"/>
      <c r="G14" s="9">
        <v>0</v>
      </c>
      <c r="H14" s="9" t="s">
        <v>3</v>
      </c>
      <c r="I14" s="1"/>
    </row>
    <row r="15" spans="1:9" x14ac:dyDescent="0.25">
      <c r="A15" s="1"/>
      <c r="B15" s="146" t="s">
        <v>177</v>
      </c>
      <c r="C15" s="147"/>
      <c r="D15" s="147"/>
      <c r="E15" s="147"/>
      <c r="F15" s="148"/>
      <c r="G15" s="9">
        <v>0</v>
      </c>
      <c r="H15" s="9" t="s">
        <v>3</v>
      </c>
      <c r="I15" s="1"/>
    </row>
    <row r="16" spans="1:9" x14ac:dyDescent="0.25">
      <c r="A16" s="1"/>
      <c r="B16" s="146" t="s">
        <v>178</v>
      </c>
      <c r="C16" s="147"/>
      <c r="D16" s="147"/>
      <c r="E16" s="147"/>
      <c r="F16" s="148"/>
      <c r="G16" s="9">
        <v>0</v>
      </c>
      <c r="H16" s="9" t="s">
        <v>3</v>
      </c>
      <c r="I16" s="1"/>
    </row>
    <row r="17" spans="1:9" x14ac:dyDescent="0.25">
      <c r="A17" s="1"/>
      <c r="B17" s="146" t="s">
        <v>179</v>
      </c>
      <c r="C17" s="147"/>
      <c r="D17" s="147"/>
      <c r="E17" s="147"/>
      <c r="F17" s="148"/>
      <c r="G17" s="9">
        <v>0</v>
      </c>
      <c r="H17" s="9" t="s">
        <v>3</v>
      </c>
      <c r="I17" s="1"/>
    </row>
    <row r="18" spans="1:9" x14ac:dyDescent="0.25">
      <c r="A18" s="1"/>
      <c r="B18" s="122" t="s">
        <v>180</v>
      </c>
      <c r="C18" s="123"/>
      <c r="D18" s="123"/>
      <c r="E18" s="123"/>
      <c r="F18" s="124"/>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FyJ6nUpty9toppNqaiiR8kODnc+l6f4gbKfxNlNBQRDZYmmedlmBOQu9SI5HD+F2yqWbwsZ7fKkDbZdEHi8wRg==" saltValue="BH2z2HZBj/v9/XWtetgx3g=="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8" t="s">
        <v>207</v>
      </c>
      <c r="C3" s="118"/>
      <c r="D3" s="118"/>
      <c r="E3" s="118"/>
      <c r="F3" s="118"/>
      <c r="G3" s="1"/>
    </row>
    <row r="4" spans="1:7" ht="15" customHeight="1" x14ac:dyDescent="0.25">
      <c r="A4" s="1"/>
      <c r="B4" s="118"/>
      <c r="C4" s="118"/>
      <c r="D4" s="118"/>
      <c r="E4" s="118"/>
      <c r="F4" s="11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2" t="s">
        <v>228</v>
      </c>
      <c r="C9" s="123"/>
      <c r="D9" s="123"/>
      <c r="E9" s="123"/>
      <c r="F9" s="124"/>
      <c r="G9" s="1"/>
    </row>
    <row r="10" spans="1:7" x14ac:dyDescent="0.25">
      <c r="A10" s="1"/>
      <c r="B10" s="119" t="s">
        <v>82</v>
      </c>
      <c r="C10" s="120"/>
      <c r="D10" s="121"/>
      <c r="E10" s="7">
        <v>0</v>
      </c>
      <c r="F10" s="8" t="s">
        <v>3</v>
      </c>
      <c r="G10" s="1"/>
    </row>
    <row r="11" spans="1:7" x14ac:dyDescent="0.25">
      <c r="A11" s="1"/>
      <c r="B11" s="125" t="s">
        <v>229</v>
      </c>
      <c r="C11" s="126"/>
      <c r="D11" s="127"/>
      <c r="E11" s="7">
        <v>0</v>
      </c>
      <c r="F11" s="8" t="s">
        <v>3</v>
      </c>
      <c r="G11" s="1"/>
    </row>
    <row r="12" spans="1:7" x14ac:dyDescent="0.25">
      <c r="A12" s="1"/>
      <c r="B12" s="143" t="s">
        <v>83</v>
      </c>
      <c r="C12" s="144"/>
      <c r="D12" s="145"/>
      <c r="E12" s="10">
        <f>E11-E10</f>
        <v>0</v>
      </c>
      <c r="F12" s="11" t="s">
        <v>3</v>
      </c>
      <c r="G12" s="1"/>
    </row>
    <row r="13" spans="1:7" x14ac:dyDescent="0.25">
      <c r="A13" s="1"/>
      <c r="B13" s="122" t="s">
        <v>78</v>
      </c>
      <c r="C13" s="123"/>
      <c r="D13" s="123"/>
      <c r="E13" s="123"/>
      <c r="F13" s="124"/>
      <c r="G13" s="1"/>
    </row>
    <row r="14" spans="1:7" x14ac:dyDescent="0.25">
      <c r="A14" s="1"/>
      <c r="B14" s="125" t="s">
        <v>230</v>
      </c>
      <c r="C14" s="126"/>
      <c r="D14" s="127"/>
      <c r="E14" s="7">
        <v>0</v>
      </c>
      <c r="F14" s="8" t="s">
        <v>3</v>
      </c>
      <c r="G14" s="1"/>
    </row>
    <row r="15" spans="1:7" x14ac:dyDescent="0.25">
      <c r="A15" s="1"/>
      <c r="B15" s="119" t="s">
        <v>231</v>
      </c>
      <c r="C15" s="120"/>
      <c r="D15" s="121"/>
      <c r="E15" s="7">
        <v>0</v>
      </c>
      <c r="F15" s="8" t="s">
        <v>3</v>
      </c>
      <c r="G15" s="1"/>
    </row>
    <row r="16" spans="1:7" x14ac:dyDescent="0.25">
      <c r="A16" s="1"/>
      <c r="B16" s="143" t="s">
        <v>83</v>
      </c>
      <c r="C16" s="144"/>
      <c r="D16" s="145"/>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Uw1PPITvXYrMFFgW/EDvGIcEDZnZmuF1qfRvOPjriVB10NJPSiqJYXR2+jDKux+hmvNpfJnl3JNDwAp386R/eQ==" saltValue="CkAYy/of+EYgdo1+eOa8i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5" t="s">
        <v>182</v>
      </c>
      <c r="C3" s="115"/>
      <c r="D3" s="115"/>
      <c r="E3" s="115"/>
      <c r="F3" s="115"/>
      <c r="G3" s="115"/>
      <c r="H3" s="115"/>
      <c r="I3" s="115"/>
      <c r="J3" s="115"/>
      <c r="K3" s="115"/>
      <c r="L3" s="1"/>
    </row>
    <row r="4" spans="1:12" ht="15" customHeight="1" x14ac:dyDescent="0.25">
      <c r="A4" s="1"/>
      <c r="B4" s="115"/>
      <c r="C4" s="115"/>
      <c r="D4" s="115"/>
      <c r="E4" s="115"/>
      <c r="F4" s="115"/>
      <c r="G4" s="115"/>
      <c r="H4" s="115"/>
      <c r="I4" s="115"/>
      <c r="J4" s="115"/>
      <c r="K4" s="11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2" t="s">
        <v>149</v>
      </c>
      <c r="C8" s="123"/>
      <c r="D8" s="123"/>
      <c r="E8" s="123"/>
      <c r="F8" s="123"/>
      <c r="G8" s="123"/>
      <c r="H8" s="123"/>
      <c r="I8" s="123"/>
      <c r="J8" s="123"/>
      <c r="K8" s="124"/>
      <c r="L8" s="1"/>
    </row>
    <row r="9" spans="1:12" ht="39.75" customHeight="1" x14ac:dyDescent="0.25">
      <c r="A9" s="1"/>
      <c r="B9" s="18" t="s">
        <v>0</v>
      </c>
      <c r="C9" s="18" t="s">
        <v>1</v>
      </c>
      <c r="D9" s="152" t="s">
        <v>165</v>
      </c>
      <c r="E9" s="153"/>
      <c r="F9" s="152" t="s">
        <v>2</v>
      </c>
      <c r="G9" s="153"/>
      <c r="H9" s="152" t="s">
        <v>164</v>
      </c>
      <c r="I9" s="153"/>
      <c r="J9" s="152" t="s">
        <v>27</v>
      </c>
      <c r="K9" s="153"/>
      <c r="L9" s="1"/>
    </row>
    <row r="10" spans="1:12" x14ac:dyDescent="0.25">
      <c r="A10" s="1"/>
      <c r="B10" s="90" t="s">
        <v>265</v>
      </c>
      <c r="C10" s="45"/>
      <c r="D10" s="9">
        <v>0</v>
      </c>
      <c r="E10" s="14" t="s">
        <v>3</v>
      </c>
      <c r="F10" s="9">
        <f>IFERROR(D10/C10,0)</f>
        <v>0</v>
      </c>
      <c r="G10" s="14" t="s">
        <v>3</v>
      </c>
      <c r="H10" s="41">
        <v>0</v>
      </c>
      <c r="I10" s="14" t="s">
        <v>3</v>
      </c>
      <c r="J10" s="41">
        <v>0</v>
      </c>
      <c r="K10" s="14" t="s">
        <v>3</v>
      </c>
      <c r="L10" s="1"/>
    </row>
    <row r="11" spans="1:12" x14ac:dyDescent="0.25">
      <c r="A11" s="1"/>
      <c r="B11" s="79" t="s">
        <v>150</v>
      </c>
      <c r="C11" s="80"/>
      <c r="D11" s="81"/>
      <c r="E11" s="81"/>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yC3VEAOKM4sConUrGXiLtKNEhp2BLRlpErRMG/C3BowJrgrVh9byzcr+Udr5SJ1IqdnoVXrKC93uxcN1FGHq3A==" saltValue="wh1XanfPQ6i1R6TSb7j+D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8"/>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183</v>
      </c>
      <c r="C3" s="115"/>
      <c r="D3" s="115"/>
      <c r="E3" s="115"/>
      <c r="F3" s="115"/>
      <c r="G3" s="1"/>
    </row>
    <row r="4" spans="1:7" ht="1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91" t="s">
        <v>17</v>
      </c>
      <c r="C9" s="91" t="s">
        <v>11</v>
      </c>
      <c r="D9" s="92"/>
      <c r="E9" s="91"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ht="26.25" x14ac:dyDescent="0.25">
      <c r="A11" s="1"/>
      <c r="B11" s="71" t="s">
        <v>287</v>
      </c>
      <c r="C11" s="21">
        <v>413377</v>
      </c>
      <c r="D11" s="14" t="s">
        <v>3</v>
      </c>
      <c r="E11" s="9">
        <v>2076702</v>
      </c>
      <c r="F11" s="14" t="s">
        <v>3</v>
      </c>
      <c r="G11" s="1"/>
    </row>
    <row r="12" spans="1:7" ht="26.25" x14ac:dyDescent="0.25">
      <c r="A12" s="1"/>
      <c r="B12" s="71" t="s">
        <v>288</v>
      </c>
      <c r="C12" s="21">
        <v>164589.01999999999</v>
      </c>
      <c r="D12" s="14" t="s">
        <v>3</v>
      </c>
      <c r="E12" s="9">
        <v>227318</v>
      </c>
      <c r="F12" s="14" t="s">
        <v>3</v>
      </c>
      <c r="G12" s="1"/>
    </row>
    <row r="13" spans="1:7" x14ac:dyDescent="0.25">
      <c r="A13" s="1"/>
      <c r="B13" s="24"/>
      <c r="C13" s="21"/>
      <c r="D13" s="14" t="s">
        <v>3</v>
      </c>
      <c r="E13" s="9">
        <v>0</v>
      </c>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577966.02</v>
      </c>
      <c r="D19" s="13" t="s">
        <v>3</v>
      </c>
      <c r="E19" s="12">
        <f>SUM(E10:E18)</f>
        <v>2304020</v>
      </c>
      <c r="F19" s="13" t="s">
        <v>3</v>
      </c>
      <c r="G19" s="1"/>
    </row>
    <row r="20" spans="1:7" x14ac:dyDescent="0.25">
      <c r="A20" s="1"/>
      <c r="B20" s="33" t="s">
        <v>233</v>
      </c>
      <c r="C20" s="12">
        <f>C19*(1+'Fane 15. Nøgletal'!C16)</f>
        <v>624665.67441600002</v>
      </c>
      <c r="D20" s="13" t="s">
        <v>3</v>
      </c>
      <c r="E20" s="12">
        <f>E19*(1+'Fane 15. Nøgletal'!C16)</f>
        <v>2490184.8160000001</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RvTl1wYnWrKSG2jLzfICsvC289E6sCqnVNRidf4mZ/wGkTZQzh+Hxnf9FDGCcihWUAWzxUS/9poxF/PFqDe9tw==" saltValue="XWgPiavnfIp6fCbw/dh+k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184</v>
      </c>
      <c r="C3" s="115"/>
      <c r="D3" s="115"/>
      <c r="E3" s="115"/>
      <c r="F3" s="115"/>
      <c r="G3" s="1"/>
    </row>
    <row r="4" spans="1:7" ht="1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2" t="s">
        <v>260</v>
      </c>
      <c r="C8" s="123"/>
      <c r="D8" s="123"/>
      <c r="E8" s="123"/>
      <c r="F8" s="124"/>
      <c r="G8" s="1"/>
    </row>
    <row r="9" spans="1:7" x14ac:dyDescent="0.25">
      <c r="A9" s="1"/>
      <c r="B9" s="91" t="s">
        <v>17</v>
      </c>
      <c r="C9" s="91" t="s">
        <v>11</v>
      </c>
      <c r="D9" s="92"/>
      <c r="E9" s="91" t="s">
        <v>28</v>
      </c>
      <c r="F9" s="32"/>
      <c r="G9" s="1"/>
    </row>
    <row r="10" spans="1:7" ht="26.25" x14ac:dyDescent="0.25">
      <c r="A10" s="1"/>
      <c r="B10" s="71" t="s">
        <v>287</v>
      </c>
      <c r="C10" s="21">
        <v>84110</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84110</v>
      </c>
      <c r="D13" s="13" t="s">
        <v>3</v>
      </c>
      <c r="E13" s="12">
        <f>SUM(E10:E12)</f>
        <v>0</v>
      </c>
      <c r="F13" s="13" t="s">
        <v>3</v>
      </c>
      <c r="G13" s="1"/>
    </row>
    <row r="14" spans="1:7" x14ac:dyDescent="0.25">
      <c r="A14" s="1"/>
      <c r="B14" s="33" t="s">
        <v>235</v>
      </c>
      <c r="C14" s="12">
        <f>C13*(1+'Fane 15. Nøgletal'!C16)^2</f>
        <v>98251.29991039999</v>
      </c>
      <c r="D14" s="13" t="s">
        <v>3</v>
      </c>
      <c r="E14" s="12">
        <f>E13*(1+'Fane 15. Nøgletal'!C16)^2</f>
        <v>0</v>
      </c>
      <c r="F14" s="13" t="s">
        <v>3</v>
      </c>
      <c r="G14" s="1"/>
    </row>
    <row r="15" spans="1:7" x14ac:dyDescent="0.25">
      <c r="A15" s="1"/>
      <c r="B15" s="1"/>
      <c r="C15" s="1"/>
      <c r="D15" s="1"/>
      <c r="E15" s="1"/>
      <c r="F15" s="1"/>
      <c r="G15" s="1"/>
    </row>
    <row r="16" spans="1:7" x14ac:dyDescent="0.25">
      <c r="A16" s="1"/>
      <c r="B16" s="154"/>
      <c r="C16" s="154"/>
      <c r="D16" s="154"/>
      <c r="E16" s="154"/>
      <c r="F16" s="154"/>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54"/>
      <c r="C23" s="154"/>
      <c r="D23" s="154"/>
      <c r="E23" s="154"/>
      <c r="F23" s="154"/>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54"/>
      <c r="C30" s="154"/>
      <c r="D30" s="154"/>
      <c r="E30" s="154"/>
      <c r="F30" s="154"/>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6eXNNj7eY5ZOpW/XzDHFezu7Si+Zm4fp7/dvoYfZrVT8u65ahHL1LZXLzrQXCriGkLtcgW8i++Lzms4AwpcLKQ==" saltValue="y/AFiloGVWIwkwTjDnu4W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8" t="s">
        <v>185</v>
      </c>
      <c r="C3" s="118"/>
      <c r="D3" s="118"/>
      <c r="E3" s="118"/>
      <c r="F3" s="118"/>
      <c r="G3" s="1"/>
    </row>
    <row r="4" spans="1:7" ht="15" customHeight="1" x14ac:dyDescent="0.25">
      <c r="A4" s="1"/>
      <c r="B4" s="118"/>
      <c r="C4" s="118"/>
      <c r="D4" s="118"/>
      <c r="E4" s="118"/>
      <c r="F4" s="118"/>
      <c r="G4" s="1"/>
    </row>
    <row r="5" spans="1:7" x14ac:dyDescent="0.25">
      <c r="A5" s="1"/>
      <c r="B5" s="118"/>
      <c r="C5" s="118"/>
      <c r="D5" s="118"/>
      <c r="E5" s="118"/>
      <c r="F5" s="118"/>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2" t="s">
        <v>110</v>
      </c>
      <c r="C9" s="123"/>
      <c r="D9" s="123"/>
      <c r="E9" s="123"/>
      <c r="F9" s="124"/>
      <c r="G9" s="1"/>
    </row>
    <row r="10" spans="1:7" x14ac:dyDescent="0.25">
      <c r="A10" s="1"/>
      <c r="B10" s="146" t="s">
        <v>236</v>
      </c>
      <c r="C10" s="147"/>
      <c r="D10" s="148"/>
      <c r="E10" s="9">
        <v>0</v>
      </c>
      <c r="F10" s="14" t="s">
        <v>3</v>
      </c>
      <c r="G10" s="1"/>
    </row>
    <row r="11" spans="1:7" x14ac:dyDescent="0.25">
      <c r="A11" s="1"/>
      <c r="B11" s="155" t="s">
        <v>10</v>
      </c>
      <c r="C11" s="156"/>
      <c r="D11" s="157"/>
      <c r="E11" s="9">
        <f>-E10*'Fane 5. Individuelt eff. krav'!G9</f>
        <v>0</v>
      </c>
      <c r="F11" s="14" t="s">
        <v>3</v>
      </c>
      <c r="G11" s="1"/>
    </row>
    <row r="12" spans="1:7" x14ac:dyDescent="0.25">
      <c r="A12" s="1"/>
      <c r="B12" s="155" t="s">
        <v>23</v>
      </c>
      <c r="C12" s="156"/>
      <c r="D12" s="157"/>
      <c r="E12" s="9">
        <f>-E10*'Fane 15. Nøgletal'!C33</f>
        <v>0</v>
      </c>
      <c r="F12" s="14" t="s">
        <v>3</v>
      </c>
      <c r="G12" s="1"/>
    </row>
    <row r="13" spans="1:7" x14ac:dyDescent="0.25">
      <c r="A13" s="1"/>
      <c r="B13" s="122" t="s">
        <v>111</v>
      </c>
      <c r="C13" s="123"/>
      <c r="D13" s="124"/>
      <c r="E13" s="12">
        <f>SUM(E10:E12)*(1+'Fane 15. Nøgletal'!C16)^2</f>
        <v>0</v>
      </c>
      <c r="F13" s="13" t="s">
        <v>3</v>
      </c>
      <c r="G13" s="1"/>
    </row>
    <row r="14" spans="1:7" x14ac:dyDescent="0.25">
      <c r="A14" s="1"/>
      <c r="B14" s="1"/>
      <c r="C14" s="1"/>
      <c r="D14" s="1"/>
      <c r="E14" s="1"/>
      <c r="F14" s="1"/>
      <c r="G14" s="1"/>
    </row>
    <row r="15" spans="1:7" ht="15" customHeight="1" x14ac:dyDescent="0.25">
      <c r="A15" s="1"/>
      <c r="B15" s="122" t="s">
        <v>124</v>
      </c>
      <c r="C15" s="123"/>
      <c r="D15" s="123"/>
      <c r="E15" s="123"/>
      <c r="F15" s="124"/>
      <c r="G15" s="1"/>
    </row>
    <row r="16" spans="1:7" x14ac:dyDescent="0.25">
      <c r="A16" s="1"/>
      <c r="B16" s="146" t="s">
        <v>236</v>
      </c>
      <c r="C16" s="147"/>
      <c r="D16" s="148"/>
      <c r="E16" s="9">
        <v>0</v>
      </c>
      <c r="F16" s="14" t="s">
        <v>3</v>
      </c>
      <c r="G16" s="1"/>
    </row>
    <row r="17" spans="1:7" x14ac:dyDescent="0.25">
      <c r="A17" s="1"/>
      <c r="B17" s="155" t="s">
        <v>10</v>
      </c>
      <c r="C17" s="156"/>
      <c r="D17" s="157"/>
      <c r="E17" s="9">
        <f>-E16*'Fane 5. Individuelt eff. krav'!G9</f>
        <v>0</v>
      </c>
      <c r="F17" s="14" t="s">
        <v>3</v>
      </c>
      <c r="G17" s="1"/>
    </row>
    <row r="18" spans="1:7" x14ac:dyDescent="0.25">
      <c r="A18" s="1"/>
      <c r="B18" s="155" t="s">
        <v>23</v>
      </c>
      <c r="C18" s="156"/>
      <c r="D18" s="157"/>
      <c r="E18" s="9">
        <f>-E16*'Fane 15. Nøgletal'!C33</f>
        <v>0</v>
      </c>
      <c r="F18" s="14" t="s">
        <v>3</v>
      </c>
      <c r="G18" s="1"/>
    </row>
    <row r="19" spans="1:7" x14ac:dyDescent="0.25">
      <c r="A19" s="1"/>
      <c r="B19" s="122" t="s">
        <v>125</v>
      </c>
      <c r="C19" s="123"/>
      <c r="D19" s="124"/>
      <c r="E19" s="12">
        <f>SUM(E16:E18)*(1+'Fane 15. Nøgletal'!C16)^3</f>
        <v>0</v>
      </c>
      <c r="F19" s="13" t="s">
        <v>3</v>
      </c>
      <c r="G19" s="1"/>
    </row>
    <row r="20" spans="1:7" x14ac:dyDescent="0.25">
      <c r="A20" s="1"/>
      <c r="B20" s="1"/>
      <c r="C20" s="1"/>
      <c r="D20" s="1"/>
      <c r="E20" s="1"/>
      <c r="F20" s="1"/>
      <c r="G20" s="1"/>
    </row>
    <row r="21" spans="1:7" ht="15" customHeight="1" x14ac:dyDescent="0.25">
      <c r="A21" s="1"/>
      <c r="B21" s="122" t="s">
        <v>145</v>
      </c>
      <c r="C21" s="123"/>
      <c r="D21" s="123"/>
      <c r="E21" s="123"/>
      <c r="F21" s="124"/>
      <c r="G21" s="1"/>
    </row>
    <row r="22" spans="1:7" x14ac:dyDescent="0.25">
      <c r="A22" s="1"/>
      <c r="B22" s="146" t="s">
        <v>236</v>
      </c>
      <c r="C22" s="147"/>
      <c r="D22" s="148"/>
      <c r="E22" s="9">
        <v>0</v>
      </c>
      <c r="F22" s="14" t="s">
        <v>3</v>
      </c>
      <c r="G22" s="1"/>
    </row>
    <row r="23" spans="1:7" x14ac:dyDescent="0.25">
      <c r="A23" s="1"/>
      <c r="B23" s="155" t="s">
        <v>10</v>
      </c>
      <c r="C23" s="156"/>
      <c r="D23" s="157"/>
      <c r="E23" s="9">
        <f>-E22*'Fane 5. Individuelt eff. krav'!G9</f>
        <v>0</v>
      </c>
      <c r="F23" s="14" t="s">
        <v>3</v>
      </c>
      <c r="G23" s="1"/>
    </row>
    <row r="24" spans="1:7" x14ac:dyDescent="0.25">
      <c r="A24" s="1"/>
      <c r="B24" s="155" t="s">
        <v>23</v>
      </c>
      <c r="C24" s="156"/>
      <c r="D24" s="157"/>
      <c r="E24" s="9">
        <f>-E22*'Fane 15. Nøgletal'!C33</f>
        <v>0</v>
      </c>
      <c r="F24" s="14" t="s">
        <v>3</v>
      </c>
      <c r="G24" s="1"/>
    </row>
    <row r="25" spans="1:7" x14ac:dyDescent="0.25">
      <c r="A25" s="1"/>
      <c r="B25" s="122" t="s">
        <v>146</v>
      </c>
      <c r="C25" s="123"/>
      <c r="D25" s="124"/>
      <c r="E25" s="12">
        <f>SUM(E22:E24)*(1+'Fane 15. Nøgletal'!C16)^4</f>
        <v>0</v>
      </c>
      <c r="F25" s="13" t="s">
        <v>3</v>
      </c>
      <c r="G25" s="1"/>
    </row>
    <row r="26" spans="1:7" x14ac:dyDescent="0.25">
      <c r="A26" s="1"/>
      <c r="B26" s="1"/>
      <c r="C26" s="1"/>
      <c r="D26" s="1"/>
      <c r="E26" s="1"/>
      <c r="F26" s="1"/>
      <c r="G26" s="1"/>
    </row>
    <row r="27" spans="1:7" ht="15" customHeight="1" x14ac:dyDescent="0.25">
      <c r="A27" s="1"/>
      <c r="B27" s="122" t="s">
        <v>237</v>
      </c>
      <c r="C27" s="123"/>
      <c r="D27" s="123"/>
      <c r="E27" s="123"/>
      <c r="F27" s="124"/>
      <c r="G27" s="1"/>
    </row>
    <row r="28" spans="1:7" ht="14.25" customHeight="1" x14ac:dyDescent="0.25">
      <c r="A28" s="1"/>
      <c r="B28" s="146" t="s">
        <v>236</v>
      </c>
      <c r="C28" s="147"/>
      <c r="D28" s="148"/>
      <c r="E28" s="9">
        <v>0</v>
      </c>
      <c r="F28" s="14" t="s">
        <v>3</v>
      </c>
      <c r="G28" s="1"/>
    </row>
    <row r="29" spans="1:7" x14ac:dyDescent="0.25">
      <c r="A29" s="1"/>
      <c r="B29" s="155" t="s">
        <v>10</v>
      </c>
      <c r="C29" s="156"/>
      <c r="D29" s="157"/>
      <c r="E29" s="9">
        <f>-E28*'Fane 5. Individuelt eff. krav'!G9</f>
        <v>0</v>
      </c>
      <c r="F29" s="14" t="s">
        <v>3</v>
      </c>
      <c r="G29" s="1"/>
    </row>
    <row r="30" spans="1:7" x14ac:dyDescent="0.25">
      <c r="A30" s="1"/>
      <c r="B30" s="155" t="s">
        <v>23</v>
      </c>
      <c r="C30" s="156"/>
      <c r="D30" s="157"/>
      <c r="E30" s="9">
        <f>-E28*'Fane 15. Nøgletal'!C33</f>
        <v>0</v>
      </c>
      <c r="F30" s="14" t="s">
        <v>3</v>
      </c>
      <c r="G30" s="1"/>
    </row>
    <row r="31" spans="1:7" x14ac:dyDescent="0.25">
      <c r="A31" s="1"/>
      <c r="B31" s="122" t="s">
        <v>238</v>
      </c>
      <c r="C31" s="123"/>
      <c r="D31" s="124"/>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oYAMblfv/C67lqdsOt2lIZQWZ3V0re+iqxBXTi52Gu/K2F+9+yHPAdQ+sIH9vpL49R0lQyrAX8MIqnGgz7HrjA==" saltValue="EZtH3whYgITvxkun2Zt2HQ=="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8" t="s">
        <v>186</v>
      </c>
      <c r="C3" s="118"/>
      <c r="D3" s="118"/>
      <c r="E3" s="118"/>
      <c r="F3" s="118"/>
      <c r="G3" s="1"/>
    </row>
    <row r="4" spans="1:7" ht="25.5" customHeight="1" x14ac:dyDescent="0.25">
      <c r="A4" s="1"/>
      <c r="B4" s="118"/>
      <c r="C4" s="118"/>
      <c r="D4" s="118"/>
      <c r="E4" s="118"/>
      <c r="F4" s="11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2" t="s">
        <v>112</v>
      </c>
      <c r="C8" s="123"/>
      <c r="D8" s="123"/>
      <c r="E8" s="123"/>
      <c r="F8" s="124"/>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Sbqao9Mi23jH+9BLk3TsbPJlb0F8h2U06NLjPThTA+Q89OiqW0PJYC571DVkOHwCNXb1WxnIR+JGr2T43w7P4w==" saltValue="WLhHzlHQpqgBBEFQUKyc0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8" t="s">
        <v>187</v>
      </c>
      <c r="C3" s="118"/>
      <c r="D3" s="118"/>
      <c r="E3" s="118"/>
      <c r="F3" s="118"/>
      <c r="G3" s="1"/>
    </row>
    <row r="4" spans="1:7" ht="25.5" customHeight="1" x14ac:dyDescent="0.25">
      <c r="A4" s="1"/>
      <c r="B4" s="118"/>
      <c r="C4" s="118"/>
      <c r="D4" s="118"/>
      <c r="E4" s="118"/>
      <c r="F4" s="11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2" t="s">
        <v>240</v>
      </c>
      <c r="C9" s="123"/>
      <c r="D9" s="123"/>
      <c r="E9" s="123"/>
      <c r="F9" s="124"/>
      <c r="G9" s="1"/>
    </row>
    <row r="10" spans="1:7" ht="26.25" customHeight="1" x14ac:dyDescent="0.25">
      <c r="A10" s="1"/>
      <c r="B10" s="31" t="s">
        <v>18</v>
      </c>
      <c r="C10" s="149" t="s">
        <v>11</v>
      </c>
      <c r="D10" s="151"/>
      <c r="E10" s="149" t="s">
        <v>28</v>
      </c>
      <c r="F10" s="151"/>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4"/>
      <c r="C15" s="154"/>
      <c r="D15" s="154"/>
      <c r="E15" s="154"/>
      <c r="F15" s="154"/>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54"/>
      <c r="C21" s="154"/>
      <c r="D21" s="154"/>
      <c r="E21" s="154"/>
      <c r="F21" s="154"/>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54"/>
      <c r="C27" s="154"/>
      <c r="D27" s="154"/>
      <c r="E27" s="154"/>
      <c r="F27" s="154"/>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vlq8FHj+I+BwvCHqfrO9GSlPWUgjkmlcz7VAI3tYHyDNYVI/wMo6pqiegYSys/tCY1GsLCpybn9FWvzSgclvg==" saltValue="UAY2LmnthpzP8x4LjlGncg=="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5" t="s">
        <v>201</v>
      </c>
      <c r="C3" s="115"/>
      <c r="D3" s="115"/>
      <c r="E3" s="1"/>
    </row>
    <row r="4" spans="1:5" ht="15" customHeight="1" x14ac:dyDescent="0.25">
      <c r="A4" s="1"/>
      <c r="B4" s="115"/>
      <c r="C4" s="115"/>
      <c r="D4" s="11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60541350.017642535</v>
      </c>
      <c r="D9" s="8" t="s">
        <v>3</v>
      </c>
      <c r="E9" s="1"/>
    </row>
    <row r="10" spans="1:5" ht="17.25" customHeight="1" x14ac:dyDescent="0.25">
      <c r="A10" s="1"/>
      <c r="B10" s="93" t="s">
        <v>36</v>
      </c>
      <c r="C10" s="7">
        <f>'Fane 11.1. Varige tillæg'!C20</f>
        <v>624665.67441600002</v>
      </c>
      <c r="D10" s="8" t="s">
        <v>3</v>
      </c>
      <c r="E10" s="1"/>
    </row>
    <row r="11" spans="1:5" ht="17.25" customHeight="1" x14ac:dyDescent="0.25">
      <c r="A11" s="1"/>
      <c r="B11" s="93" t="s">
        <v>37</v>
      </c>
      <c r="C11" s="9">
        <f>'Fane 11.1. Varige tillæg'!E20</f>
        <v>2490184.8160000001</v>
      </c>
      <c r="D11" s="8" t="s">
        <v>3</v>
      </c>
      <c r="E11" s="1"/>
    </row>
    <row r="12" spans="1:5" ht="17.25" customHeight="1" x14ac:dyDescent="0.25">
      <c r="A12" s="1"/>
      <c r="B12" s="93" t="s">
        <v>26</v>
      </c>
      <c r="C12" s="9">
        <f>-'Fane 14. Bortfald'!C13</f>
        <v>0</v>
      </c>
      <c r="D12" s="8" t="s">
        <v>3</v>
      </c>
      <c r="E12" s="1"/>
    </row>
    <row r="13" spans="1:5" ht="17.25" customHeight="1" x14ac:dyDescent="0.25">
      <c r="A13" s="1"/>
      <c r="B13" s="93" t="s">
        <v>25</v>
      </c>
      <c r="C13" s="9">
        <f>-'Fane 14. Bortfald'!E13</f>
        <v>0</v>
      </c>
      <c r="D13" s="8" t="s">
        <v>3</v>
      </c>
      <c r="E13" s="1"/>
    </row>
    <row r="14" spans="1:5" ht="17.25" customHeight="1" x14ac:dyDescent="0.25">
      <c r="A14" s="1"/>
      <c r="B14" s="93" t="s">
        <v>105</v>
      </c>
      <c r="C14" s="9">
        <f>'Fane 13. Tilknyttet virksomhed'!C14</f>
        <v>0</v>
      </c>
      <c r="D14" s="8" t="s">
        <v>3</v>
      </c>
      <c r="E14" s="1"/>
    </row>
    <row r="15" spans="1:5" ht="17.25" customHeight="1" x14ac:dyDescent="0.25">
      <c r="A15" s="1"/>
      <c r="B15" s="93" t="s">
        <v>106</v>
      </c>
      <c r="C15" s="9">
        <f>'Fane 13. Tilknyttet virksomhed'!E14</f>
        <v>0</v>
      </c>
      <c r="D15" s="8" t="s">
        <v>3</v>
      </c>
      <c r="E15" s="1"/>
    </row>
    <row r="16" spans="1:5" ht="17.25" customHeight="1" x14ac:dyDescent="0.25">
      <c r="A16" s="1"/>
      <c r="B16" s="93" t="s">
        <v>19</v>
      </c>
      <c r="C16" s="41">
        <f>SUM(C9)*'Fane 15. Nøgletal'!C16+SUM(C10:C15)*'Fane 15. Nøgletal'!C16</f>
        <v>5143421.0010511298</v>
      </c>
      <c r="D16" s="8" t="s">
        <v>3</v>
      </c>
      <c r="E16" s="1"/>
    </row>
    <row r="17" spans="1:5" ht="17.25" customHeight="1" x14ac:dyDescent="0.25">
      <c r="A17" s="1"/>
      <c r="B17" s="93" t="s">
        <v>10</v>
      </c>
      <c r="C17" s="41">
        <f>-SUM(C9,C10:C16)*'Fane 5. Individuelt eff. krav'!G9</f>
        <v>0</v>
      </c>
      <c r="D17" s="8" t="s">
        <v>3</v>
      </c>
      <c r="E17" s="1"/>
    </row>
    <row r="18" spans="1:5" ht="17.25" customHeight="1" x14ac:dyDescent="0.25">
      <c r="A18" s="1"/>
      <c r="B18" s="93" t="s">
        <v>23</v>
      </c>
      <c r="C18" s="41">
        <f>-'Fane 4.1. Gen. krav - drift'!G54</f>
        <v>-338761.83073834301</v>
      </c>
      <c r="D18" s="8" t="s">
        <v>3</v>
      </c>
      <c r="E18" s="1"/>
    </row>
    <row r="19" spans="1:5" ht="17.25" customHeight="1" x14ac:dyDescent="0.25">
      <c r="A19" s="1"/>
      <c r="B19" s="93" t="s">
        <v>24</v>
      </c>
      <c r="C19" s="41">
        <f>-'Fane 4.2. Gen. krav - anlæg'!G55</f>
        <v>0</v>
      </c>
      <c r="D19" s="8" t="s">
        <v>3</v>
      </c>
      <c r="E19" s="47"/>
    </row>
    <row r="20" spans="1:5" ht="17.25" customHeight="1" x14ac:dyDescent="0.25">
      <c r="A20" s="1"/>
      <c r="B20" s="87" t="s">
        <v>21</v>
      </c>
      <c r="C20" s="10">
        <f>SUM(C9:C19)</f>
        <v>68460859.678371325</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26400413.814543359</v>
      </c>
      <c r="D22" s="11" t="s">
        <v>3</v>
      </c>
      <c r="E22" s="1"/>
    </row>
    <row r="23" spans="1:5" ht="15" customHeight="1" x14ac:dyDescent="0.25">
      <c r="A23" s="1"/>
      <c r="B23" s="33" t="s">
        <v>74</v>
      </c>
      <c r="C23" s="28"/>
      <c r="D23" s="19"/>
      <c r="E23" s="1"/>
    </row>
    <row r="24" spans="1:5" ht="15" customHeight="1" x14ac:dyDescent="0.25">
      <c r="A24" s="1"/>
      <c r="B24" s="87"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93" t="s">
        <v>158</v>
      </c>
      <c r="C26" s="76">
        <f>'Fane 11.2. Engangstillæg'!C14</f>
        <v>98251.29991039999</v>
      </c>
      <c r="D26" s="8" t="s">
        <v>3</v>
      </c>
      <c r="E26" s="1"/>
    </row>
    <row r="27" spans="1:5" ht="15" customHeight="1" x14ac:dyDescent="0.25">
      <c r="A27" s="1"/>
      <c r="B27" s="93" t="s">
        <v>70</v>
      </c>
      <c r="C27" s="73">
        <f>'Fane 11.2. Engangstillæg'!E14</f>
        <v>0</v>
      </c>
      <c r="D27" s="8" t="s">
        <v>3</v>
      </c>
      <c r="E27" s="1"/>
    </row>
    <row r="28" spans="1:5" ht="15" customHeight="1" x14ac:dyDescent="0.25">
      <c r="A28" s="1"/>
      <c r="B28" s="93" t="s">
        <v>161</v>
      </c>
      <c r="C28" s="75">
        <f>-C26*('Fane 15. Nøgletal'!C33+'Fane 5. Individuelt eff. krav'!G9)</f>
        <v>-1965.0259982079999</v>
      </c>
      <c r="D28" s="8" t="s">
        <v>3</v>
      </c>
      <c r="E28" s="1"/>
    </row>
    <row r="29" spans="1:5" ht="15" customHeight="1" x14ac:dyDescent="0.25">
      <c r="A29" s="1"/>
      <c r="B29" s="93" t="s">
        <v>162</v>
      </c>
      <c r="C29" s="73">
        <f>-C27*('Fane 15. Nøgletal'!C28+'Fane 5. Individuelt eff. krav'!G9)</f>
        <v>0</v>
      </c>
      <c r="D29" s="8" t="s">
        <v>3</v>
      </c>
      <c r="E29" s="1"/>
    </row>
    <row r="30" spans="1:5" ht="15" customHeight="1" x14ac:dyDescent="0.25">
      <c r="A30" s="1"/>
      <c r="B30" s="70" t="s">
        <v>75</v>
      </c>
      <c r="C30" s="10">
        <f>SUM(C26:C29)</f>
        <v>96286.273912191988</v>
      </c>
      <c r="D30" s="11" t="s">
        <v>3</v>
      </c>
      <c r="E30" s="1"/>
    </row>
    <row r="31" spans="1:5" x14ac:dyDescent="0.25">
      <c r="A31" s="1"/>
      <c r="B31" s="33" t="s">
        <v>116</v>
      </c>
      <c r="C31" s="28"/>
      <c r="D31" s="19"/>
      <c r="E31" s="1"/>
    </row>
    <row r="32" spans="1:5" x14ac:dyDescent="0.25">
      <c r="A32" s="1"/>
      <c r="B32" s="31" t="s">
        <v>138</v>
      </c>
      <c r="C32" s="10">
        <f>'Fane 7. Kontrol af ØR2022'!E32</f>
        <v>0</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94957559.766826868</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D7h0nDMcTuqITaOg/+w1bL/LQxXtsbWVOl54TkElsz5gSa84GJcgw2zbHBOl38LJcUdky3G4RaFATfp3VMrhSg==" saltValue="9XPWt9fMUKHHqGeQG9iey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8" t="s">
        <v>188</v>
      </c>
      <c r="C3" s="118"/>
      <c r="D3" s="1"/>
    </row>
    <row r="4" spans="1:4" ht="25.5" customHeight="1" x14ac:dyDescent="0.25">
      <c r="A4" s="1"/>
      <c r="B4" s="118"/>
      <c r="C4" s="118"/>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5" t="s">
        <v>94</v>
      </c>
      <c r="C9" s="25">
        <v>1.2699999999999999E-2</v>
      </c>
      <c r="D9" s="1"/>
    </row>
    <row r="10" spans="1:4" x14ac:dyDescent="0.25">
      <c r="A10" s="1"/>
      <c r="B10" s="85" t="s">
        <v>95</v>
      </c>
      <c r="C10" s="25">
        <v>1.7500000000000002E-2</v>
      </c>
      <c r="D10" s="1"/>
    </row>
    <row r="11" spans="1:4" x14ac:dyDescent="0.25">
      <c r="A11" s="1"/>
      <c r="B11" s="85"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5"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5" t="s">
        <v>96</v>
      </c>
      <c r="C21" s="22">
        <v>9.1000000000000004E-3</v>
      </c>
      <c r="D21" s="1"/>
    </row>
    <row r="22" spans="1:4" x14ac:dyDescent="0.25">
      <c r="A22" s="1"/>
      <c r="B22" s="85" t="s">
        <v>118</v>
      </c>
      <c r="C22" s="22">
        <v>1.77E-2</v>
      </c>
      <c r="D22" s="1"/>
    </row>
    <row r="23" spans="1:4" x14ac:dyDescent="0.25">
      <c r="A23" s="1"/>
      <c r="B23" s="85" t="s">
        <v>119</v>
      </c>
      <c r="C23" s="22">
        <v>8.6999999999999994E-3</v>
      </c>
      <c r="D23" s="1"/>
    </row>
    <row r="24" spans="1:4" x14ac:dyDescent="0.25">
      <c r="A24" s="1"/>
      <c r="B24" s="85" t="s">
        <v>97</v>
      </c>
      <c r="C24" s="36">
        <v>2.8400000000000002E-2</v>
      </c>
      <c r="D24" s="1"/>
    </row>
    <row r="25" spans="1:4" x14ac:dyDescent="0.25">
      <c r="A25" s="1"/>
      <c r="B25" s="85" t="s">
        <v>120</v>
      </c>
      <c r="C25" s="36">
        <v>2.75E-2</v>
      </c>
      <c r="D25" s="1"/>
    </row>
    <row r="26" spans="1:4" x14ac:dyDescent="0.25">
      <c r="A26" s="1"/>
      <c r="B26" s="85"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5"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Zo/MZt4+gsw2JCuFuxpXwITlgxZsGMoyfB4BEaLgT0nRSRKv89BxOCWhs8DxbY7TA107FVfwgsMQt8UuFCTWYA==" saltValue="MiZGCIovDSOHltOtX92ie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5" t="s">
        <v>202</v>
      </c>
      <c r="C3" s="115"/>
      <c r="D3" s="115"/>
      <c r="E3" s="1"/>
    </row>
    <row r="4" spans="1:5" ht="15" customHeight="1" x14ac:dyDescent="0.25">
      <c r="A4" s="1"/>
      <c r="B4" s="115"/>
      <c r="C4" s="115"/>
      <c r="D4" s="115"/>
      <c r="E4" s="1"/>
    </row>
    <row r="5" spans="1:5" x14ac:dyDescent="0.25">
      <c r="A5" s="1"/>
      <c r="B5" s="116"/>
      <c r="C5" s="116"/>
      <c r="D5" s="11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68460859.678371325</v>
      </c>
      <c r="D9" s="8" t="s">
        <v>3</v>
      </c>
      <c r="E9" s="1"/>
    </row>
    <row r="10" spans="1:5" ht="15" customHeight="1" x14ac:dyDescent="0.25">
      <c r="A10" s="1"/>
      <c r="B10" s="26" t="s">
        <v>19</v>
      </c>
      <c r="C10" s="7">
        <f>SUM(C9:C9)*'Fane 15. Nøgletal'!C16</f>
        <v>5531637.4620124027</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-358811.11092876107</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73633686.029454961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28454502.915558461</v>
      </c>
      <c r="D16" s="11" t="s">
        <v>3</v>
      </c>
      <c r="E16" s="1"/>
    </row>
    <row r="17" spans="1:5" ht="15" customHeight="1" x14ac:dyDescent="0.25">
      <c r="A17" s="1"/>
      <c r="B17" s="33" t="s">
        <v>74</v>
      </c>
      <c r="C17" s="28"/>
      <c r="D17" s="19"/>
      <c r="E17" s="1"/>
    </row>
    <row r="18" spans="1:5" ht="15" customHeight="1" x14ac:dyDescent="0.25">
      <c r="A18" s="1"/>
      <c r="B18" s="87"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ØR2022'!E32</f>
        <v>0</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102088188.94501342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EVZzZo60iGASA6EU4ybgEov5YOcIZdtSMpMNpW1FzuhXI+GQqDHfUKA9OW1QLrr4RyJrMmxmzqU4NpBVrGM/g==" saltValue="1oU8TnI637bXT9AD58F6X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5" t="s">
        <v>203</v>
      </c>
      <c r="C3" s="115"/>
      <c r="D3" s="115"/>
      <c r="E3" s="1"/>
    </row>
    <row r="4" spans="1:5" ht="15" customHeight="1" x14ac:dyDescent="0.25">
      <c r="A4" s="1"/>
      <c r="B4" s="115"/>
      <c r="C4" s="115"/>
      <c r="D4" s="115"/>
      <c r="E4" s="1"/>
    </row>
    <row r="5" spans="1:5" x14ac:dyDescent="0.25">
      <c r="A5" s="1"/>
      <c r="B5" s="116" t="s">
        <v>253</v>
      </c>
      <c r="C5" s="116"/>
      <c r="D5" s="116"/>
      <c r="E5" s="1"/>
    </row>
    <row r="6" spans="1:5" x14ac:dyDescent="0.25">
      <c r="A6" s="1"/>
      <c r="B6" s="77"/>
      <c r="C6" s="77"/>
      <c r="D6" s="77"/>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73633686.029454961</v>
      </c>
      <c r="D9" s="8" t="s">
        <v>3</v>
      </c>
      <c r="E9" s="1"/>
    </row>
    <row r="10" spans="1:5" ht="15" customHeight="1" x14ac:dyDescent="0.25">
      <c r="A10" s="1"/>
      <c r="B10" s="26" t="s">
        <v>19</v>
      </c>
      <c r="C10" s="7">
        <f>SUM(C9:C9)*'Fane 15. Nøgletal'!C16</f>
        <v>5949601.8311799606</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-380046.98771796882</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79203240.872916952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30674562.415935583</v>
      </c>
      <c r="D16" s="11" t="s">
        <v>3</v>
      </c>
      <c r="E16" s="1"/>
    </row>
    <row r="17" spans="1:5" ht="15" customHeight="1" x14ac:dyDescent="0.25">
      <c r="A17" s="1"/>
      <c r="B17" s="33" t="s">
        <v>74</v>
      </c>
      <c r="C17" s="28"/>
      <c r="D17" s="19"/>
      <c r="E17" s="1"/>
    </row>
    <row r="18" spans="1:5" ht="15" customHeight="1" x14ac:dyDescent="0.25">
      <c r="A18" s="1"/>
      <c r="B18" s="87"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109877803.28885254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x0sj+z3NU6hK3rryEb30di6bkIQmkMOROsB/n8my/6vPTnlu4Bc5+k/EI1pO1qvgBRiLnjeMvYM5/IO+EsWm7A==" saltValue="IlGrkc73s3W+1Z1Z+UEn8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5" t="s">
        <v>204</v>
      </c>
      <c r="C3" s="115"/>
      <c r="D3" s="115"/>
      <c r="E3" s="1"/>
      <c r="F3" s="1"/>
    </row>
    <row r="4" spans="1:6" ht="15" customHeight="1" x14ac:dyDescent="0.25">
      <c r="A4" s="1"/>
      <c r="B4" s="115"/>
      <c r="C4" s="115"/>
      <c r="D4" s="115"/>
      <c r="E4" s="1"/>
      <c r="F4" s="1"/>
    </row>
    <row r="5" spans="1:6" x14ac:dyDescent="0.25">
      <c r="A5" s="1"/>
      <c r="B5" s="116" t="s">
        <v>253</v>
      </c>
      <c r="C5" s="116"/>
      <c r="D5" s="116"/>
      <c r="E5" s="1"/>
      <c r="F5" s="1"/>
    </row>
    <row r="6" spans="1:6" x14ac:dyDescent="0.25">
      <c r="A6" s="1"/>
      <c r="B6" s="77"/>
      <c r="C6" s="77"/>
      <c r="D6" s="77"/>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79203240.872916952</v>
      </c>
      <c r="D9" s="8" t="s">
        <v>3</v>
      </c>
      <c r="E9" s="1"/>
      <c r="F9" s="1"/>
    </row>
    <row r="10" spans="1:6" ht="15" customHeight="1" x14ac:dyDescent="0.25">
      <c r="A10" s="1"/>
      <c r="B10" s="26" t="s">
        <v>19</v>
      </c>
      <c r="C10" s="7">
        <f>SUM(C9:C9)*'Fane 15. Nøgletal'!C16</f>
        <v>6399621.862531689</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-402539.68863906915</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85200323.046809569</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32095483.723943178</v>
      </c>
      <c r="D16" s="11" t="s">
        <v>3</v>
      </c>
      <c r="E16" s="1"/>
      <c r="F16" s="1"/>
    </row>
    <row r="17" spans="1:6" ht="15" customHeight="1" x14ac:dyDescent="0.25">
      <c r="A17" s="1"/>
      <c r="B17" s="33" t="s">
        <v>74</v>
      </c>
      <c r="C17" s="28"/>
      <c r="D17" s="19"/>
      <c r="E17" s="1"/>
      <c r="F17" s="1"/>
    </row>
    <row r="18" spans="1:6" ht="15" customHeight="1" x14ac:dyDescent="0.25">
      <c r="A18" s="1"/>
      <c r="B18" s="87"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117295806.77075274</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yJ2jlcsqm4oO+NlsMPD0AzzdeHwJUqeZpdWGgjdY9rrvzQAK4qbtdyKog1PwEsk7oRs3VEPsja1jaRsLTY8q8Q==" saltValue="zAeF6mcPVZUzV0xqnwZr7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8" t="s">
        <v>205</v>
      </c>
      <c r="C3" s="118"/>
      <c r="D3" s="118"/>
      <c r="E3" s="1"/>
    </row>
    <row r="4" spans="1:5" x14ac:dyDescent="0.25">
      <c r="A4" s="1"/>
      <c r="B4" s="118"/>
      <c r="C4" s="118"/>
      <c r="D4" s="118"/>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59420360.156346478</v>
      </c>
      <c r="D9" s="8" t="s">
        <v>3</v>
      </c>
      <c r="E9" s="1"/>
    </row>
    <row r="10" spans="1:5" x14ac:dyDescent="0.25">
      <c r="A10" s="1"/>
      <c r="B10" s="93" t="s">
        <v>36</v>
      </c>
      <c r="C10" s="7">
        <v>763507.49160000007</v>
      </c>
      <c r="D10" s="8" t="s">
        <v>3</v>
      </c>
      <c r="E10" s="1"/>
    </row>
    <row r="11" spans="1:5" x14ac:dyDescent="0.25">
      <c r="A11" s="1"/>
      <c r="B11" s="93" t="s">
        <v>37</v>
      </c>
      <c r="C11" s="9">
        <v>2226098.8344000001</v>
      </c>
      <c r="D11" s="8" t="s">
        <v>3</v>
      </c>
      <c r="E11" s="1"/>
    </row>
    <row r="12" spans="1:5" x14ac:dyDescent="0.25">
      <c r="A12" s="1"/>
      <c r="B12" s="93" t="s">
        <v>26</v>
      </c>
      <c r="C12" s="9">
        <v>0</v>
      </c>
      <c r="D12" s="8" t="s">
        <v>3</v>
      </c>
      <c r="E12" s="1"/>
    </row>
    <row r="13" spans="1:5" x14ac:dyDescent="0.25">
      <c r="A13" s="1"/>
      <c r="B13" s="93" t="s">
        <v>25</v>
      </c>
      <c r="C13" s="9">
        <v>0</v>
      </c>
      <c r="D13" s="8" t="s">
        <v>3</v>
      </c>
      <c r="E13" s="1"/>
    </row>
    <row r="14" spans="1:5" x14ac:dyDescent="0.25">
      <c r="A14" s="1"/>
      <c r="B14" s="93" t="s">
        <v>105</v>
      </c>
      <c r="C14" s="9">
        <v>0</v>
      </c>
      <c r="D14" s="8" t="s">
        <v>3</v>
      </c>
      <c r="E14" s="1"/>
    </row>
    <row r="15" spans="1:5" x14ac:dyDescent="0.25">
      <c r="A15" s="1"/>
      <c r="B15" s="93" t="s">
        <v>106</v>
      </c>
      <c r="C15" s="9">
        <v>0</v>
      </c>
      <c r="D15" s="8" t="s">
        <v>3</v>
      </c>
      <c r="E15" s="1"/>
    </row>
    <row r="16" spans="1:5" x14ac:dyDescent="0.25">
      <c r="A16" s="1"/>
      <c r="B16" s="93" t="s">
        <v>19</v>
      </c>
      <c r="C16" s="41">
        <v>302517.1737215434</v>
      </c>
      <c r="D16" s="8" t="s">
        <v>3</v>
      </c>
      <c r="E16" s="1"/>
    </row>
    <row r="17" spans="1:5" x14ac:dyDescent="0.25">
      <c r="A17" s="1"/>
      <c r="B17" s="93" t="s">
        <v>10</v>
      </c>
      <c r="C17" s="41">
        <v>-1164077.265617358</v>
      </c>
      <c r="D17" s="8" t="s">
        <v>3</v>
      </c>
      <c r="E17" s="1"/>
    </row>
    <row r="18" spans="1:5" x14ac:dyDescent="0.25">
      <c r="A18" s="1"/>
      <c r="B18" s="93" t="s">
        <v>23</v>
      </c>
      <c r="C18" s="41">
        <v>-307084.56464614905</v>
      </c>
      <c r="D18" s="8" t="s">
        <v>3</v>
      </c>
      <c r="E18" s="1"/>
    </row>
    <row r="19" spans="1:5" x14ac:dyDescent="0.25">
      <c r="A19" s="1"/>
      <c r="B19" s="93" t="s">
        <v>24</v>
      </c>
      <c r="C19" s="41">
        <v>-699971.80816198362</v>
      </c>
      <c r="D19" s="8" t="s">
        <v>3</v>
      </c>
      <c r="E19" s="47"/>
    </row>
    <row r="20" spans="1:5" x14ac:dyDescent="0.25">
      <c r="A20" s="1"/>
      <c r="B20" s="87" t="s">
        <v>21</v>
      </c>
      <c r="C20" s="10">
        <v>60541350.017642535</v>
      </c>
      <c r="D20" s="11" t="s">
        <v>3</v>
      </c>
      <c r="E20" s="1"/>
    </row>
    <row r="21" spans="1:5" x14ac:dyDescent="0.25">
      <c r="A21" s="1"/>
      <c r="B21" s="33" t="s">
        <v>12</v>
      </c>
      <c r="C21" s="28"/>
      <c r="D21" s="19"/>
      <c r="E21" s="1"/>
    </row>
    <row r="22" spans="1:5" x14ac:dyDescent="0.25">
      <c r="A22" s="1"/>
      <c r="B22" s="31" t="s">
        <v>12</v>
      </c>
      <c r="C22" s="10">
        <v>22814135.915847842</v>
      </c>
      <c r="D22" s="11" t="s">
        <v>3</v>
      </c>
      <c r="E22" s="1"/>
    </row>
    <row r="23" spans="1:5" x14ac:dyDescent="0.25">
      <c r="A23" s="1"/>
      <c r="B23" s="33" t="s">
        <v>74</v>
      </c>
      <c r="C23" s="28"/>
      <c r="D23" s="19"/>
      <c r="E23" s="1"/>
    </row>
    <row r="24" spans="1:5" x14ac:dyDescent="0.25">
      <c r="A24" s="1"/>
      <c r="B24" s="87" t="s">
        <v>74</v>
      </c>
      <c r="C24" s="10">
        <v>0</v>
      </c>
      <c r="D24" s="11" t="s">
        <v>3</v>
      </c>
      <c r="E24" s="1"/>
    </row>
    <row r="25" spans="1:5" x14ac:dyDescent="0.25">
      <c r="A25" s="1"/>
      <c r="B25" s="44" t="s">
        <v>73</v>
      </c>
      <c r="C25" s="42"/>
      <c r="D25" s="43"/>
      <c r="E25" s="1"/>
    </row>
    <row r="26" spans="1:5" x14ac:dyDescent="0.25">
      <c r="A26" s="1"/>
      <c r="B26" s="93" t="s">
        <v>158</v>
      </c>
      <c r="C26" s="69">
        <v>0</v>
      </c>
      <c r="D26" s="8" t="s">
        <v>3</v>
      </c>
      <c r="E26" s="1"/>
    </row>
    <row r="27" spans="1:5" x14ac:dyDescent="0.25">
      <c r="A27" s="1"/>
      <c r="B27" s="93" t="s">
        <v>70</v>
      </c>
      <c r="C27" s="69">
        <v>0</v>
      </c>
      <c r="D27" s="8" t="s">
        <v>3</v>
      </c>
      <c r="E27" s="1"/>
    </row>
    <row r="28" spans="1:5" x14ac:dyDescent="0.25">
      <c r="A28" s="1"/>
      <c r="B28" s="93" t="s">
        <v>161</v>
      </c>
      <c r="C28" s="69">
        <v>0</v>
      </c>
      <c r="D28" s="8" t="s">
        <v>3</v>
      </c>
      <c r="E28" s="1"/>
    </row>
    <row r="29" spans="1:5" x14ac:dyDescent="0.25">
      <c r="A29" s="1"/>
      <c r="B29" s="93"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83355485.933490381</v>
      </c>
      <c r="D37" s="30" t="s">
        <v>3</v>
      </c>
      <c r="E37" s="1"/>
    </row>
    <row r="38" spans="1:5" ht="30" customHeight="1" x14ac:dyDescent="0.25">
      <c r="A38" s="1"/>
      <c r="B38" s="117" t="s">
        <v>268</v>
      </c>
      <c r="C38" s="117"/>
      <c r="D38" s="117"/>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V+NMxQGm3HIxC6Kqzr4i8Xw5s4JCsHUqOo1qv53TMYyGdRZE9YN7VHXzHIrKkBymufkjek6O650AC9IZYuhMDw==" saltValue="dxEwg5ULgQVKPP9ycXFvzg=="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8" t="s">
        <v>91</v>
      </c>
      <c r="C2" s="118"/>
      <c r="D2" s="118"/>
      <c r="E2" s="118"/>
      <c r="F2" s="118"/>
      <c r="G2" s="118"/>
      <c r="H2" s="118"/>
      <c r="I2" s="1"/>
    </row>
    <row r="3" spans="1:9" ht="28.5" customHeight="1" x14ac:dyDescent="0.25">
      <c r="A3" s="1"/>
      <c r="B3" s="118"/>
      <c r="C3" s="118"/>
      <c r="D3" s="118"/>
      <c r="E3" s="118"/>
      <c r="F3" s="118"/>
      <c r="G3" s="118"/>
      <c r="H3" s="118"/>
      <c r="I3" s="1"/>
    </row>
    <row r="4" spans="1:9" x14ac:dyDescent="0.25">
      <c r="A4" s="1"/>
      <c r="B4" s="122" t="s">
        <v>46</v>
      </c>
      <c r="C4" s="123"/>
      <c r="D4" s="123"/>
      <c r="E4" s="123"/>
      <c r="F4" s="123"/>
      <c r="G4" s="123"/>
      <c r="H4" s="124"/>
      <c r="I4" s="1"/>
    </row>
    <row r="5" spans="1:9" x14ac:dyDescent="0.25">
      <c r="A5" s="1"/>
      <c r="B5" s="125" t="s">
        <v>38</v>
      </c>
      <c r="C5" s="126"/>
      <c r="D5" s="126"/>
      <c r="E5" s="126"/>
      <c r="F5" s="127"/>
      <c r="G5" s="63">
        <v>14419082.457373746</v>
      </c>
      <c r="H5" s="14" t="s">
        <v>3</v>
      </c>
      <c r="I5" s="1"/>
    </row>
    <row r="6" spans="1:9" x14ac:dyDescent="0.25">
      <c r="A6" s="1"/>
      <c r="B6" s="119" t="s">
        <v>102</v>
      </c>
      <c r="C6" s="120"/>
      <c r="D6" s="120"/>
      <c r="E6" s="120"/>
      <c r="F6" s="121"/>
      <c r="G6" s="66">
        <v>0</v>
      </c>
      <c r="H6" s="14" t="s">
        <v>3</v>
      </c>
      <c r="I6" s="1"/>
    </row>
    <row r="7" spans="1:9" x14ac:dyDescent="0.25">
      <c r="A7" s="1"/>
      <c r="B7" s="125" t="s">
        <v>39</v>
      </c>
      <c r="C7" s="126"/>
      <c r="D7" s="126"/>
      <c r="E7" s="126"/>
      <c r="F7" s="127"/>
      <c r="G7" s="23">
        <f>SUM(G5:G6)*'Fane 15. Nøgletal'!C33</f>
        <v>288381.64914747491</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22" t="s">
        <v>47</v>
      </c>
      <c r="C10" s="123"/>
      <c r="D10" s="123"/>
      <c r="E10" s="123"/>
      <c r="F10" s="123"/>
      <c r="G10" s="123"/>
      <c r="H10" s="124"/>
      <c r="I10" s="1"/>
    </row>
    <row r="11" spans="1:9" x14ac:dyDescent="0.25">
      <c r="A11" s="1"/>
      <c r="B11" s="125" t="s">
        <v>40</v>
      </c>
      <c r="C11" s="126"/>
      <c r="D11" s="126"/>
      <c r="E11" s="126"/>
      <c r="F11" s="127"/>
      <c r="G11" s="23">
        <f>(G5-G7)*(1+'Fane 15. Nøgletal'!C10)</f>
        <v>14377988.072370231</v>
      </c>
      <c r="H11" s="14" t="s">
        <v>3</v>
      </c>
      <c r="I11" s="1"/>
    </row>
    <row r="12" spans="1:9" ht="15" customHeight="1" x14ac:dyDescent="0.25">
      <c r="A12" s="1"/>
      <c r="B12" s="125" t="s">
        <v>103</v>
      </c>
      <c r="C12" s="126"/>
      <c r="D12" s="126"/>
      <c r="E12" s="126"/>
      <c r="F12" s="127"/>
      <c r="G12" s="66">
        <v>0</v>
      </c>
      <c r="H12" s="14" t="s">
        <v>3</v>
      </c>
      <c r="I12" s="1"/>
    </row>
    <row r="13" spans="1:9" x14ac:dyDescent="0.25">
      <c r="A13" s="1"/>
      <c r="B13" s="119" t="s">
        <v>100</v>
      </c>
      <c r="C13" s="120"/>
      <c r="D13" s="120"/>
      <c r="E13" s="120"/>
      <c r="F13" s="121"/>
      <c r="G13" s="66">
        <v>0</v>
      </c>
      <c r="H13" s="14" t="s">
        <v>3</v>
      </c>
      <c r="I13" s="1"/>
    </row>
    <row r="14" spans="1:9" x14ac:dyDescent="0.25">
      <c r="A14" s="1"/>
      <c r="B14" s="128" t="s">
        <v>244</v>
      </c>
      <c r="C14" s="129"/>
      <c r="D14" s="129"/>
      <c r="E14" s="129"/>
      <c r="F14" s="130"/>
      <c r="G14" s="66">
        <v>0</v>
      </c>
      <c r="H14" s="14" t="s">
        <v>3</v>
      </c>
      <c r="I14" s="1"/>
    </row>
    <row r="15" spans="1:9" x14ac:dyDescent="0.25">
      <c r="A15" s="1"/>
      <c r="B15" s="125" t="s">
        <v>41</v>
      </c>
      <c r="C15" s="126"/>
      <c r="D15" s="126"/>
      <c r="E15" s="126"/>
      <c r="F15" s="127"/>
      <c r="G15" s="23">
        <f>SUM(G11:G14)*'Fane 15. Nøgletal'!C33</f>
        <v>287559.76144740463</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22" t="s">
        <v>48</v>
      </c>
      <c r="C18" s="123"/>
      <c r="D18" s="123"/>
      <c r="E18" s="123"/>
      <c r="F18" s="123"/>
      <c r="G18" s="123"/>
      <c r="H18" s="124"/>
      <c r="I18" s="1"/>
    </row>
    <row r="19" spans="1:9" x14ac:dyDescent="0.25">
      <c r="A19" s="1"/>
      <c r="B19" s="125" t="s">
        <v>42</v>
      </c>
      <c r="C19" s="126"/>
      <c r="D19" s="126"/>
      <c r="E19" s="126"/>
      <c r="F19" s="127"/>
      <c r="G19" s="23">
        <f>(SUM(G11:G12,G14)-(G15))*(1+'Fane 15. Nøgletal'!C10)</f>
        <v>14337010.806363976</v>
      </c>
      <c r="H19" s="14" t="s">
        <v>3</v>
      </c>
      <c r="I19" s="1"/>
    </row>
    <row r="20" spans="1:9" x14ac:dyDescent="0.25">
      <c r="A20" s="1"/>
      <c r="B20" s="128" t="s">
        <v>245</v>
      </c>
      <c r="C20" s="129"/>
      <c r="D20" s="129"/>
      <c r="E20" s="129"/>
      <c r="F20" s="130"/>
      <c r="G20" s="66">
        <v>756078.93235076987</v>
      </c>
      <c r="H20" s="14" t="s">
        <v>3</v>
      </c>
      <c r="I20" s="1"/>
    </row>
    <row r="21" spans="1:9" x14ac:dyDescent="0.25">
      <c r="A21" s="1"/>
      <c r="B21" s="125" t="s">
        <v>43</v>
      </c>
      <c r="C21" s="126"/>
      <c r="D21" s="126"/>
      <c r="E21" s="126"/>
      <c r="F21" s="127"/>
      <c r="G21" s="23">
        <f>SUM(G19:G20)*'Fane 15. Nøgletal'!C33</f>
        <v>301861.79477429489</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22" t="s">
        <v>49</v>
      </c>
      <c r="C24" s="123"/>
      <c r="D24" s="123"/>
      <c r="E24" s="123"/>
      <c r="F24" s="123"/>
      <c r="G24" s="123"/>
      <c r="H24" s="124"/>
      <c r="I24" s="1"/>
    </row>
    <row r="25" spans="1:9" x14ac:dyDescent="0.25">
      <c r="A25" s="1"/>
      <c r="B25" s="125" t="s">
        <v>44</v>
      </c>
      <c r="C25" s="126"/>
      <c r="D25" s="126"/>
      <c r="E25" s="126"/>
      <c r="F25" s="127"/>
      <c r="G25" s="23">
        <f>(G19+G20-G21)*(1+'Fane 15. Nøgletal'!C12)</f>
        <v>15082615.134436077</v>
      </c>
      <c r="H25" s="14" t="s">
        <v>3</v>
      </c>
      <c r="I25" s="1"/>
    </row>
    <row r="26" spans="1:9" x14ac:dyDescent="0.25">
      <c r="A26" s="1"/>
      <c r="B26" s="128" t="s">
        <v>246</v>
      </c>
      <c r="C26" s="129"/>
      <c r="D26" s="129"/>
      <c r="E26" s="129"/>
      <c r="F26" s="130"/>
      <c r="G26" s="66">
        <v>-7706.8582053073096</v>
      </c>
      <c r="H26" s="14" t="s">
        <v>3</v>
      </c>
      <c r="I26" s="1"/>
    </row>
    <row r="27" spans="1:9" x14ac:dyDescent="0.25">
      <c r="A27" s="1"/>
      <c r="B27" s="125" t="s">
        <v>45</v>
      </c>
      <c r="C27" s="126"/>
      <c r="D27" s="126"/>
      <c r="E27" s="126"/>
      <c r="F27" s="127"/>
      <c r="G27" s="23">
        <f>(G25+G26)*'Fane 15. Nøgletal'!C33</f>
        <v>301498.16552461538</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22" t="s">
        <v>52</v>
      </c>
      <c r="C30" s="123"/>
      <c r="D30" s="123"/>
      <c r="E30" s="123"/>
      <c r="F30" s="123"/>
      <c r="G30" s="123"/>
      <c r="H30" s="124"/>
      <c r="I30" s="1"/>
    </row>
    <row r="31" spans="1:9" x14ac:dyDescent="0.25">
      <c r="A31" s="1"/>
      <c r="B31" s="125" t="s">
        <v>53</v>
      </c>
      <c r="C31" s="126"/>
      <c r="D31" s="126"/>
      <c r="E31" s="126"/>
      <c r="F31" s="127"/>
      <c r="G31" s="23">
        <f>(G25+G26-G27)*(1+'Fane 15. Nøgletal'!C12)</f>
        <v>15064446.289887067</v>
      </c>
      <c r="H31" s="14" t="s">
        <v>3</v>
      </c>
      <c r="I31" s="1"/>
    </row>
    <row r="32" spans="1:9" x14ac:dyDescent="0.25">
      <c r="A32" s="1"/>
      <c r="B32" s="125" t="s">
        <v>243</v>
      </c>
      <c r="C32" s="126"/>
      <c r="D32" s="126"/>
      <c r="E32" s="126"/>
      <c r="F32" s="127"/>
      <c r="G32" s="63">
        <v>0</v>
      </c>
      <c r="H32" s="14" t="s">
        <v>3</v>
      </c>
      <c r="I32" s="1"/>
    </row>
    <row r="33" spans="1:9" x14ac:dyDescent="0.25">
      <c r="A33" s="1"/>
      <c r="B33" s="125" t="s">
        <v>54</v>
      </c>
      <c r="C33" s="126"/>
      <c r="D33" s="126"/>
      <c r="E33" s="126"/>
      <c r="F33" s="127"/>
      <c r="G33" s="23">
        <f>(G31+G32)*'Fane 15. Nøgletal'!C33</f>
        <v>301288.92579774134</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22" t="s">
        <v>126</v>
      </c>
      <c r="C36" s="123"/>
      <c r="D36" s="123"/>
      <c r="E36" s="123"/>
      <c r="F36" s="123"/>
      <c r="G36" s="123"/>
      <c r="H36" s="124"/>
      <c r="I36" s="1"/>
    </row>
    <row r="37" spans="1:9" x14ac:dyDescent="0.25">
      <c r="A37" s="1"/>
      <c r="B37" s="125" t="s">
        <v>68</v>
      </c>
      <c r="C37" s="126"/>
      <c r="D37" s="126"/>
      <c r="E37" s="126"/>
      <c r="F37" s="127"/>
      <c r="G37" s="23">
        <f>(G31+G32-G33)*(1+'Fane 15. Nøgletal'!C14)</f>
        <v>14811875.783390822</v>
      </c>
      <c r="H37" s="14" t="s">
        <v>3</v>
      </c>
      <c r="I37" s="1"/>
    </row>
    <row r="38" spans="1:9" x14ac:dyDescent="0.25">
      <c r="A38" s="1"/>
      <c r="B38" s="125" t="s">
        <v>242</v>
      </c>
      <c r="C38" s="126"/>
      <c r="D38" s="126"/>
      <c r="E38" s="126"/>
      <c r="F38" s="127"/>
      <c r="G38" s="63">
        <v>0</v>
      </c>
      <c r="H38" s="14" t="s">
        <v>3</v>
      </c>
      <c r="I38" s="1"/>
    </row>
    <row r="39" spans="1:9" x14ac:dyDescent="0.25">
      <c r="A39" s="1"/>
      <c r="B39" s="125" t="s">
        <v>128</v>
      </c>
      <c r="C39" s="126"/>
      <c r="D39" s="126"/>
      <c r="E39" s="126"/>
      <c r="F39" s="127"/>
      <c r="G39" s="23">
        <f>(G37+G38)*'Fane 15. Nøgletal'!C33</f>
        <v>296237.51566781645</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22" t="s">
        <v>127</v>
      </c>
      <c r="C42" s="123"/>
      <c r="D42" s="123"/>
      <c r="E42" s="123"/>
      <c r="F42" s="123"/>
      <c r="G42" s="123"/>
      <c r="H42" s="124"/>
      <c r="I42" s="1"/>
    </row>
    <row r="43" spans="1:9" x14ac:dyDescent="0.25">
      <c r="A43" s="1"/>
      <c r="B43" s="125" t="s">
        <v>155</v>
      </c>
      <c r="C43" s="126"/>
      <c r="D43" s="126"/>
      <c r="E43" s="126"/>
      <c r="F43" s="127"/>
      <c r="G43" s="23">
        <f>(G37+G38-G39)*(1+'Fane 15. Nøgletal'!C14)</f>
        <v>14563539.874006493</v>
      </c>
      <c r="H43" s="14" t="s">
        <v>3</v>
      </c>
      <c r="I43" s="1"/>
    </row>
    <row r="44" spans="1:9" x14ac:dyDescent="0.25">
      <c r="A44" s="1"/>
      <c r="B44" s="131" t="s">
        <v>157</v>
      </c>
      <c r="C44" s="132"/>
      <c r="D44" s="132"/>
      <c r="E44" s="132"/>
      <c r="F44" s="133"/>
      <c r="G44" s="72">
        <v>790688.35830096016</v>
      </c>
      <c r="H44" s="14" t="s">
        <v>3</v>
      </c>
      <c r="I44" s="1"/>
    </row>
    <row r="45" spans="1:9" x14ac:dyDescent="0.25">
      <c r="A45" s="1"/>
      <c r="B45" s="125" t="s">
        <v>129</v>
      </c>
      <c r="C45" s="126"/>
      <c r="D45" s="126"/>
      <c r="E45" s="126"/>
      <c r="F45" s="127"/>
      <c r="G45" s="23">
        <f>SUM(G43:G44)*'Fane 15. Nøgletal'!C33</f>
        <v>307084.56464614905</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22" t="s">
        <v>192</v>
      </c>
      <c r="C51" s="123"/>
      <c r="D51" s="123"/>
      <c r="E51" s="123"/>
      <c r="F51" s="123"/>
      <c r="G51" s="123"/>
      <c r="H51" s="124"/>
      <c r="I51" s="1"/>
    </row>
    <row r="52" spans="1:9" x14ac:dyDescent="0.25">
      <c r="A52" s="1"/>
      <c r="B52" s="125" t="s">
        <v>154</v>
      </c>
      <c r="C52" s="126"/>
      <c r="D52" s="126"/>
      <c r="E52" s="126"/>
      <c r="F52" s="127"/>
      <c r="G52" s="23">
        <f>(G43+G44-G45)*(1+'Fane 15. Nøgletal'!C16)</f>
        <v>16262952.876008337</v>
      </c>
      <c r="H52" s="14" t="s">
        <v>3</v>
      </c>
      <c r="I52" s="1"/>
    </row>
    <row r="53" spans="1:9" x14ac:dyDescent="0.25">
      <c r="A53" s="1"/>
      <c r="B53" s="82" t="s">
        <v>194</v>
      </c>
      <c r="C53" s="83"/>
      <c r="D53" s="83"/>
      <c r="E53" s="83"/>
      <c r="F53" s="84"/>
      <c r="G53" s="23">
        <f>('Fane 2.1. Økonomisk ramme 2024'!C10+'Fane 2.1. Økonomisk ramme 2024'!C12+'Fane 2.1. Økonomisk ramme 2024'!C14)*(1+'Fane 15. Nøgletal'!C16)</f>
        <v>675138.66090881277</v>
      </c>
      <c r="H53" s="14" t="s">
        <v>3</v>
      </c>
      <c r="I53" s="1"/>
    </row>
    <row r="54" spans="1:9" x14ac:dyDescent="0.25">
      <c r="A54" s="1"/>
      <c r="B54" s="125" t="s">
        <v>210</v>
      </c>
      <c r="C54" s="126"/>
      <c r="D54" s="126"/>
      <c r="E54" s="126"/>
      <c r="F54" s="127"/>
      <c r="G54" s="23">
        <f>(G52)*'Fane 15. Nøgletal'!C33+(G53)*'Fane 15. Nøgletal'!C33</f>
        <v>338761.83073834301</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22" t="s">
        <v>193</v>
      </c>
      <c r="C57" s="123"/>
      <c r="D57" s="123"/>
      <c r="E57" s="123"/>
      <c r="F57" s="123"/>
      <c r="G57" s="123"/>
      <c r="H57" s="124"/>
      <c r="I57" s="1"/>
    </row>
    <row r="58" spans="1:9" x14ac:dyDescent="0.25">
      <c r="A58" s="1"/>
      <c r="B58" s="82" t="s">
        <v>212</v>
      </c>
      <c r="C58" s="83"/>
      <c r="D58" s="83"/>
      <c r="E58" s="83"/>
      <c r="F58" s="84"/>
      <c r="G58" s="23">
        <f>(G52+G53-G54)*(1+'Fane 15. Nøgletal'!C16)</f>
        <v>17940555.546438053</v>
      </c>
      <c r="H58" s="14" t="s">
        <v>3</v>
      </c>
      <c r="I58" s="1"/>
    </row>
    <row r="59" spans="1:9" x14ac:dyDescent="0.25">
      <c r="A59" s="1"/>
      <c r="B59" s="82" t="s">
        <v>211</v>
      </c>
      <c r="C59" s="83"/>
      <c r="D59" s="83"/>
      <c r="E59" s="83"/>
      <c r="F59" s="84"/>
      <c r="G59" s="23">
        <f>(G58)*'Fane 15. Nøgletal'!C33</f>
        <v>358811.11092876107</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22" t="s">
        <v>256</v>
      </c>
      <c r="C62" s="123"/>
      <c r="D62" s="123"/>
      <c r="E62" s="123"/>
      <c r="F62" s="123"/>
      <c r="G62" s="123"/>
      <c r="H62" s="124"/>
      <c r="I62" s="1"/>
    </row>
    <row r="63" spans="1:9" x14ac:dyDescent="0.25">
      <c r="A63" s="1"/>
      <c r="B63" s="82" t="s">
        <v>213</v>
      </c>
      <c r="C63" s="83"/>
      <c r="D63" s="83"/>
      <c r="E63" s="83"/>
      <c r="F63" s="84"/>
      <c r="G63" s="23">
        <f>(G58-G59)*(1+'Fane 15. Nøgletal'!C16)</f>
        <v>19002349.385898441</v>
      </c>
      <c r="H63" s="14" t="s">
        <v>3</v>
      </c>
      <c r="I63" s="1"/>
    </row>
    <row r="64" spans="1:9" x14ac:dyDescent="0.25">
      <c r="A64" s="1"/>
      <c r="B64" s="82" t="s">
        <v>214</v>
      </c>
      <c r="C64" s="83"/>
      <c r="D64" s="83"/>
      <c r="E64" s="83"/>
      <c r="F64" s="84"/>
      <c r="G64" s="23">
        <f>(G63)*'Fane 15. Nøgletal'!C33</f>
        <v>380046.98771796882</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22" t="s">
        <v>257</v>
      </c>
      <c r="C67" s="123"/>
      <c r="D67" s="123"/>
      <c r="E67" s="123"/>
      <c r="F67" s="123"/>
      <c r="G67" s="123"/>
      <c r="H67" s="124"/>
      <c r="I67" s="1"/>
    </row>
    <row r="68" spans="1:9" x14ac:dyDescent="0.25">
      <c r="A68" s="1"/>
      <c r="B68" s="82" t="s">
        <v>213</v>
      </c>
      <c r="C68" s="83"/>
      <c r="D68" s="83"/>
      <c r="E68" s="83"/>
      <c r="F68" s="84"/>
      <c r="G68" s="23">
        <f>(G63-G64)*(1+'Fane 15. Nøgletal'!C16)</f>
        <v>20126984.431953456</v>
      </c>
      <c r="H68" s="14" t="s">
        <v>3</v>
      </c>
      <c r="I68" s="1"/>
    </row>
    <row r="69" spans="1:9" x14ac:dyDescent="0.25">
      <c r="A69" s="1"/>
      <c r="B69" s="82" t="s">
        <v>214</v>
      </c>
      <c r="C69" s="83"/>
      <c r="D69" s="83"/>
      <c r="E69" s="83"/>
      <c r="F69" s="84"/>
      <c r="G69" s="23">
        <f>(G68)*'Fane 15. Nøgletal'!C33</f>
        <v>402539.68863906915</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6q7gD+fRFy8PNu2uSHELPJcIK6iB7XlRqmZMcvHa/fntmNJmaqMX2qumfwkHiAYjf/f1eLqd9y7AQznojtuvRQ==" saltValue="he2etjy0C7Sn346yZLH3Ng=="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4" t="s">
        <v>92</v>
      </c>
      <c r="C1" s="134"/>
      <c r="D1" s="134"/>
      <c r="E1" s="134"/>
      <c r="F1" s="134"/>
      <c r="G1" s="134"/>
      <c r="H1" s="134"/>
      <c r="I1" s="1"/>
    </row>
    <row r="2" spans="1:9" ht="15" customHeight="1" x14ac:dyDescent="0.25">
      <c r="A2" s="1"/>
      <c r="B2" s="134"/>
      <c r="C2" s="134"/>
      <c r="D2" s="134"/>
      <c r="E2" s="134"/>
      <c r="F2" s="134"/>
      <c r="G2" s="134"/>
      <c r="H2" s="134"/>
      <c r="I2" s="1"/>
    </row>
    <row r="3" spans="1:9" ht="15" customHeight="1" x14ac:dyDescent="0.25">
      <c r="A3" s="1"/>
      <c r="B3" s="135"/>
      <c r="C3" s="135"/>
      <c r="D3" s="135"/>
      <c r="E3" s="135"/>
      <c r="F3" s="135"/>
      <c r="G3" s="135"/>
      <c r="H3" s="135"/>
      <c r="I3" s="1"/>
    </row>
    <row r="4" spans="1:9" x14ac:dyDescent="0.25">
      <c r="A4" s="1"/>
      <c r="B4" s="122" t="s">
        <v>50</v>
      </c>
      <c r="C4" s="123"/>
      <c r="D4" s="123"/>
      <c r="E4" s="123"/>
      <c r="F4" s="123"/>
      <c r="G4" s="123"/>
      <c r="H4" s="124"/>
      <c r="I4" s="1"/>
    </row>
    <row r="5" spans="1:9" x14ac:dyDescent="0.25">
      <c r="A5" s="1"/>
      <c r="B5" s="125" t="s">
        <v>55</v>
      </c>
      <c r="C5" s="126"/>
      <c r="D5" s="126"/>
      <c r="E5" s="126"/>
      <c r="F5" s="127"/>
      <c r="G5" s="63">
        <v>48245693.613575146</v>
      </c>
      <c r="H5" s="14" t="s">
        <v>3</v>
      </c>
      <c r="I5" s="1"/>
    </row>
    <row r="6" spans="1:9" x14ac:dyDescent="0.25">
      <c r="A6" s="1"/>
      <c r="B6" s="125" t="s">
        <v>51</v>
      </c>
      <c r="C6" s="126"/>
      <c r="D6" s="126"/>
      <c r="E6" s="126"/>
      <c r="F6" s="127"/>
      <c r="G6" s="23">
        <f>G5*'Fane 15. Nøgletal'!C21</f>
        <v>439035.81188353384</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22" t="s">
        <v>56</v>
      </c>
      <c r="C9" s="123"/>
      <c r="D9" s="123"/>
      <c r="E9" s="123"/>
      <c r="F9" s="123"/>
      <c r="G9" s="123"/>
      <c r="H9" s="124"/>
      <c r="I9" s="1"/>
    </row>
    <row r="10" spans="1:9" x14ac:dyDescent="0.25">
      <c r="A10" s="1"/>
      <c r="B10" s="125" t="s">
        <v>57</v>
      </c>
      <c r="C10" s="126"/>
      <c r="D10" s="126"/>
      <c r="E10" s="126"/>
      <c r="F10" s="127"/>
      <c r="G10" s="23">
        <f>(G5-G6)*(1+'Fane 15. Nøgletal'!C10)</f>
        <v>48643274.313221224</v>
      </c>
      <c r="H10" s="14" t="s">
        <v>3</v>
      </c>
      <c r="I10" s="1"/>
    </row>
    <row r="11" spans="1:9" x14ac:dyDescent="0.25">
      <c r="A11" s="1"/>
      <c r="B11" s="125" t="s">
        <v>104</v>
      </c>
      <c r="C11" s="126"/>
      <c r="D11" s="126"/>
      <c r="E11" s="126"/>
      <c r="F11" s="127"/>
      <c r="G11" s="63">
        <v>152301.04340513801</v>
      </c>
      <c r="H11" s="14" t="s">
        <v>3</v>
      </c>
      <c r="I11" s="1"/>
    </row>
    <row r="12" spans="1:9" x14ac:dyDescent="0.25">
      <c r="A12" s="1"/>
      <c r="B12" s="128" t="s">
        <v>247</v>
      </c>
      <c r="C12" s="129"/>
      <c r="D12" s="129"/>
      <c r="E12" s="129"/>
      <c r="F12" s="130"/>
      <c r="G12" s="66">
        <v>0</v>
      </c>
      <c r="H12" s="14" t="s">
        <v>3</v>
      </c>
      <c r="I12" s="1"/>
    </row>
    <row r="13" spans="1:9" x14ac:dyDescent="0.25">
      <c r="A13" s="1"/>
      <c r="B13" s="125" t="s">
        <v>58</v>
      </c>
      <c r="C13" s="126"/>
      <c r="D13" s="126"/>
      <c r="E13" s="126"/>
      <c r="F13" s="127"/>
      <c r="G13" s="23">
        <f>SUM(G10:G12)*'Fane 15. Nøgletal'!C22</f>
        <v>863681.68381228659</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22" t="s">
        <v>59</v>
      </c>
      <c r="C16" s="123"/>
      <c r="D16" s="123"/>
      <c r="E16" s="123"/>
      <c r="F16" s="123"/>
      <c r="G16" s="123"/>
      <c r="H16" s="124"/>
      <c r="I16" s="1"/>
    </row>
    <row r="17" spans="1:9" x14ac:dyDescent="0.25">
      <c r="A17" s="1"/>
      <c r="B17" s="125" t="s">
        <v>60</v>
      </c>
      <c r="C17" s="126"/>
      <c r="D17" s="126"/>
      <c r="E17" s="126"/>
      <c r="F17" s="127"/>
      <c r="G17" s="23">
        <f>(SUM(G10:G12)-G13)*(1+'Fane 15. Nøgletal'!C10)</f>
        <v>48770701.812088326</v>
      </c>
      <c r="H17" s="14" t="s">
        <v>3</v>
      </c>
      <c r="I17" s="1"/>
    </row>
    <row r="18" spans="1:9" x14ac:dyDescent="0.25">
      <c r="A18" s="1"/>
      <c r="B18" s="128" t="s">
        <v>248</v>
      </c>
      <c r="C18" s="129"/>
      <c r="D18" s="129"/>
      <c r="E18" s="129"/>
      <c r="F18" s="130"/>
      <c r="G18" s="63">
        <v>282660.06289422995</v>
      </c>
      <c r="H18" s="14" t="s">
        <v>3</v>
      </c>
      <c r="I18" s="1"/>
    </row>
    <row r="19" spans="1:9" x14ac:dyDescent="0.25">
      <c r="A19" s="1"/>
      <c r="B19" s="125" t="s">
        <v>61</v>
      </c>
      <c r="C19" s="126"/>
      <c r="D19" s="126"/>
      <c r="E19" s="126"/>
      <c r="F19" s="127"/>
      <c r="G19" s="23">
        <f>G17*'Fane 15. Nøgletal'!C22+G18*'Fane 15. Nøgletal'!C23</f>
        <v>865700.56462114316</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22" t="s">
        <v>62</v>
      </c>
      <c r="C22" s="123"/>
      <c r="D22" s="123"/>
      <c r="E22" s="123"/>
      <c r="F22" s="123"/>
      <c r="G22" s="123"/>
      <c r="H22" s="124"/>
      <c r="I22" s="1"/>
    </row>
    <row r="23" spans="1:9" x14ac:dyDescent="0.25">
      <c r="A23" s="1"/>
      <c r="B23" s="125" t="s">
        <v>63</v>
      </c>
      <c r="C23" s="126"/>
      <c r="D23" s="126"/>
      <c r="E23" s="126"/>
      <c r="F23" s="127"/>
      <c r="G23" s="23">
        <f>(G17+G18-G19)*(1+'Fane 15. Nøgletal'!C12)</f>
        <v>49136958.238175541</v>
      </c>
      <c r="H23" s="14" t="s">
        <v>3</v>
      </c>
      <c r="I23" s="1"/>
    </row>
    <row r="24" spans="1:9" x14ac:dyDescent="0.25">
      <c r="A24" s="1"/>
      <c r="B24" s="128" t="s">
        <v>249</v>
      </c>
      <c r="C24" s="129"/>
      <c r="D24" s="129"/>
      <c r="E24" s="129"/>
      <c r="F24" s="130"/>
      <c r="G24" s="63">
        <v>406392.33982778009</v>
      </c>
      <c r="H24" s="14" t="s">
        <v>3</v>
      </c>
      <c r="I24" s="1"/>
    </row>
    <row r="25" spans="1:9" x14ac:dyDescent="0.25">
      <c r="A25" s="1"/>
      <c r="B25" s="125" t="s">
        <v>64</v>
      </c>
      <c r="C25" s="126"/>
      <c r="D25" s="126"/>
      <c r="E25" s="126"/>
      <c r="F25" s="127"/>
      <c r="G25" s="23">
        <f>(G23+G24)*'Fane 15. Nøgletal'!C24</f>
        <v>1407031.1564152944</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22" t="s">
        <v>65</v>
      </c>
      <c r="C28" s="123"/>
      <c r="D28" s="123"/>
      <c r="E28" s="123"/>
      <c r="F28" s="123"/>
      <c r="G28" s="123"/>
      <c r="H28" s="124"/>
      <c r="I28" s="1"/>
    </row>
    <row r="29" spans="1:9" x14ac:dyDescent="0.25">
      <c r="A29" s="1"/>
      <c r="B29" s="125" t="s">
        <v>66</v>
      </c>
      <c r="C29" s="126"/>
      <c r="D29" s="126"/>
      <c r="E29" s="126"/>
      <c r="F29" s="127"/>
      <c r="G29" s="23">
        <f>(G23+G24-G25)*(1+'Fane 15. Nøgletal'!C12)</f>
        <v>49084604.914193317</v>
      </c>
      <c r="H29" s="14" t="s">
        <v>3</v>
      </c>
      <c r="I29" s="1"/>
    </row>
    <row r="30" spans="1:9" x14ac:dyDescent="0.25">
      <c r="A30" s="1"/>
      <c r="B30" s="125" t="s">
        <v>250</v>
      </c>
      <c r="C30" s="126"/>
      <c r="D30" s="126"/>
      <c r="E30" s="126"/>
      <c r="F30" s="127"/>
      <c r="G30" s="63">
        <v>0</v>
      </c>
      <c r="H30" s="14" t="s">
        <v>3</v>
      </c>
      <c r="I30" s="1"/>
    </row>
    <row r="31" spans="1:9" x14ac:dyDescent="0.25">
      <c r="A31" s="1"/>
      <c r="B31" s="125" t="s">
        <v>67</v>
      </c>
      <c r="C31" s="126"/>
      <c r="D31" s="126"/>
      <c r="E31" s="126"/>
      <c r="F31" s="127"/>
      <c r="G31" s="23">
        <f>G29*'Fane 15. Nøgletal'!C24+G30*'Fane 15. Nøgletal'!C25</f>
        <v>1394002.7795630903</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22" t="s">
        <v>130</v>
      </c>
      <c r="C34" s="123"/>
      <c r="D34" s="123"/>
      <c r="E34" s="123"/>
      <c r="F34" s="123"/>
      <c r="G34" s="123"/>
      <c r="H34" s="124"/>
      <c r="I34" s="1"/>
    </row>
    <row r="35" spans="1:9" x14ac:dyDescent="0.25">
      <c r="A35" s="1"/>
      <c r="B35" s="125" t="s">
        <v>215</v>
      </c>
      <c r="C35" s="126"/>
      <c r="D35" s="126"/>
      <c r="E35" s="126"/>
      <c r="F35" s="127"/>
      <c r="G35" s="23">
        <f>(G29+G30-G31)*(1+'Fane 15. Nøgletal'!C14)</f>
        <v>47847981.121674508</v>
      </c>
      <c r="H35" s="14" t="s">
        <v>3</v>
      </c>
      <c r="I35" s="1"/>
    </row>
    <row r="36" spans="1:9" x14ac:dyDescent="0.25">
      <c r="A36" s="1"/>
      <c r="B36" s="125" t="s">
        <v>251</v>
      </c>
      <c r="C36" s="126"/>
      <c r="D36" s="126"/>
      <c r="E36" s="126"/>
      <c r="F36" s="127"/>
      <c r="G36" s="63">
        <v>0</v>
      </c>
      <c r="H36" s="14" t="s">
        <v>3</v>
      </c>
      <c r="I36" s="1"/>
    </row>
    <row r="37" spans="1:9" x14ac:dyDescent="0.25">
      <c r="A37" s="1"/>
      <c r="B37" s="125" t="s">
        <v>131</v>
      </c>
      <c r="C37" s="126"/>
      <c r="D37" s="126"/>
      <c r="E37" s="126"/>
      <c r="F37" s="127"/>
      <c r="G37" s="23">
        <f>(G35+G36)*'Fane 15. Nøgletal'!C26</f>
        <v>708150.1206007828</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22" t="s">
        <v>151</v>
      </c>
      <c r="C40" s="123"/>
      <c r="D40" s="123"/>
      <c r="E40" s="123"/>
      <c r="F40" s="123"/>
      <c r="G40" s="123"/>
      <c r="H40" s="124"/>
      <c r="I40" s="1"/>
    </row>
    <row r="41" spans="1:9" x14ac:dyDescent="0.25">
      <c r="A41" s="1"/>
      <c r="B41" s="125" t="s">
        <v>216</v>
      </c>
      <c r="C41" s="126"/>
      <c r="D41" s="126"/>
      <c r="E41" s="126"/>
      <c r="F41" s="127"/>
      <c r="G41" s="23">
        <f>(G35+G36-G37)*(1+'Fane 15. Nøgletal'!C14)</f>
        <v>47295392.443377271</v>
      </c>
      <c r="H41" s="14" t="s">
        <v>3</v>
      </c>
      <c r="I41" s="1"/>
    </row>
    <row r="42" spans="1:9" x14ac:dyDescent="0.25">
      <c r="A42" s="1"/>
      <c r="B42" s="40" t="s">
        <v>156</v>
      </c>
      <c r="C42" s="83"/>
      <c r="D42" s="83"/>
      <c r="E42" s="83"/>
      <c r="F42" s="84"/>
      <c r="G42" s="23">
        <v>2305347.9529046402</v>
      </c>
      <c r="H42" s="14" t="s">
        <v>3</v>
      </c>
      <c r="I42" s="1"/>
    </row>
    <row r="43" spans="1:9" x14ac:dyDescent="0.25">
      <c r="A43" s="1"/>
      <c r="B43" s="125" t="s">
        <v>132</v>
      </c>
      <c r="C43" s="126"/>
      <c r="D43" s="126"/>
      <c r="E43" s="126"/>
      <c r="F43" s="127"/>
      <c r="G43" s="23">
        <f>(G41)*'Fane 15. Nøgletal'!C26+G42*'Fane 15. Nøgletal'!C27</f>
        <v>699971.80816198362</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22" t="s">
        <v>259</v>
      </c>
      <c r="C52" s="123"/>
      <c r="D52" s="123"/>
      <c r="E52" s="123"/>
      <c r="F52" s="123"/>
      <c r="G52" s="123"/>
      <c r="H52" s="124"/>
      <c r="I52" s="1"/>
    </row>
    <row r="53" spans="1:9" x14ac:dyDescent="0.25">
      <c r="A53" s="1"/>
      <c r="B53" s="125" t="s">
        <v>217</v>
      </c>
      <c r="C53" s="126"/>
      <c r="D53" s="126"/>
      <c r="E53" s="126"/>
      <c r="F53" s="127"/>
      <c r="G53" s="23">
        <f>(G41+G42-G43)*(1+'Fane 15. Nøgletal'!C16)</f>
        <v>52851950.690040022</v>
      </c>
      <c r="H53" s="14" t="s">
        <v>3</v>
      </c>
      <c r="I53" s="1"/>
    </row>
    <row r="54" spans="1:9" x14ac:dyDescent="0.25">
      <c r="A54" s="1"/>
      <c r="B54" s="82" t="s">
        <v>195</v>
      </c>
      <c r="C54" s="83"/>
      <c r="D54" s="83"/>
      <c r="E54" s="83"/>
      <c r="F54" s="84"/>
      <c r="G54" s="23">
        <f>('Fane 2.1. Økonomisk ramme 2024'!C11+'Fane 2.1. Økonomisk ramme 2024'!C13+'Fane 2.1. Økonomisk ramme 2024'!C15)*(1+'Fane 15. Nøgletal'!C16)</f>
        <v>2691391.7491327999</v>
      </c>
      <c r="H54" s="14" t="s">
        <v>3</v>
      </c>
      <c r="I54" s="1"/>
    </row>
    <row r="55" spans="1:9" x14ac:dyDescent="0.25">
      <c r="A55" s="1"/>
      <c r="B55" s="125" t="s">
        <v>218</v>
      </c>
      <c r="C55" s="126"/>
      <c r="D55" s="126"/>
      <c r="E55" s="126"/>
      <c r="F55" s="127"/>
      <c r="G55" s="23">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22" t="s">
        <v>258</v>
      </c>
      <c r="C58" s="123"/>
      <c r="D58" s="123"/>
      <c r="E58" s="123"/>
      <c r="F58" s="123"/>
      <c r="G58" s="123"/>
      <c r="H58" s="124"/>
      <c r="I58" s="1"/>
    </row>
    <row r="59" spans="1:9" x14ac:dyDescent="0.25">
      <c r="A59" s="1"/>
      <c r="B59" s="125" t="s">
        <v>219</v>
      </c>
      <c r="C59" s="126"/>
      <c r="D59" s="126"/>
      <c r="E59" s="126"/>
      <c r="F59" s="127"/>
      <c r="G59" s="23">
        <f>(G53+G54-G55)*(1+'Fane 15. Nøgletal'!C16)</f>
        <v>60031244.508257985</v>
      </c>
      <c r="H59" s="14" t="s">
        <v>3</v>
      </c>
      <c r="I59" s="1"/>
    </row>
    <row r="60" spans="1:9" x14ac:dyDescent="0.25">
      <c r="A60" s="1"/>
      <c r="B60" s="125" t="s">
        <v>220</v>
      </c>
      <c r="C60" s="126"/>
      <c r="D60" s="126"/>
      <c r="E60" s="126"/>
      <c r="F60" s="127"/>
      <c r="G60" s="23">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22" t="s">
        <v>141</v>
      </c>
      <c r="C63" s="123"/>
      <c r="D63" s="123"/>
      <c r="E63" s="123"/>
      <c r="F63" s="123"/>
      <c r="G63" s="123"/>
      <c r="H63" s="124"/>
      <c r="I63" s="1"/>
    </row>
    <row r="64" spans="1:9" x14ac:dyDescent="0.25">
      <c r="A64" s="1"/>
      <c r="B64" s="125" t="s">
        <v>221</v>
      </c>
      <c r="C64" s="126"/>
      <c r="D64" s="126"/>
      <c r="E64" s="126"/>
      <c r="F64" s="127"/>
      <c r="G64" s="23">
        <f>(G59-G60)*(1+'Fane 15. Nøgletal'!C16)</f>
        <v>64881769.064525232</v>
      </c>
      <c r="H64" s="14" t="s">
        <v>3</v>
      </c>
      <c r="I64" s="1"/>
    </row>
    <row r="65" spans="1:9" x14ac:dyDescent="0.25">
      <c r="A65" s="1"/>
      <c r="B65" s="125" t="s">
        <v>222</v>
      </c>
      <c r="C65" s="126"/>
      <c r="D65" s="126"/>
      <c r="E65" s="126"/>
      <c r="F65" s="127"/>
      <c r="G65" s="23">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22" t="s">
        <v>223</v>
      </c>
      <c r="C68" s="123"/>
      <c r="D68" s="123"/>
      <c r="E68" s="123"/>
      <c r="F68" s="123"/>
      <c r="G68" s="123"/>
      <c r="H68" s="124"/>
      <c r="I68" s="1"/>
    </row>
    <row r="69" spans="1:9" x14ac:dyDescent="0.25">
      <c r="A69" s="1"/>
      <c r="B69" s="125" t="s">
        <v>221</v>
      </c>
      <c r="C69" s="126"/>
      <c r="D69" s="126"/>
      <c r="E69" s="126"/>
      <c r="F69" s="127"/>
      <c r="G69" s="23">
        <f>(G64-G65)*(1+'Fane 15. Nøgletal'!C16)</f>
        <v>70124216.004938871</v>
      </c>
      <c r="H69" s="14" t="s">
        <v>3</v>
      </c>
      <c r="I69" s="1"/>
    </row>
    <row r="70" spans="1:9" x14ac:dyDescent="0.25">
      <c r="A70" s="1"/>
      <c r="B70" s="125" t="s">
        <v>222</v>
      </c>
      <c r="C70" s="126"/>
      <c r="D70" s="126"/>
      <c r="E70" s="126"/>
      <c r="F70" s="127"/>
      <c r="G70" s="23">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7tHnBgsTGlCFKDhxE99UTCSaRW4MO/mZeRVjCduSmoVQbGkdB6sDK7O+LKPuDKZ4TDhjUIMFeL9YPZ+4VjFgcg==" saltValue="zUwGixd6Hc1u8kwOnxbD9A=="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5" t="s">
        <v>76</v>
      </c>
      <c r="C3" s="115"/>
      <c r="D3" s="115"/>
      <c r="E3" s="115"/>
      <c r="F3" s="115"/>
      <c r="G3" s="115"/>
      <c r="H3" s="1"/>
    </row>
    <row r="4" spans="1:8" ht="15" customHeight="1" x14ac:dyDescent="0.25">
      <c r="A4" s="1"/>
      <c r="B4" s="115"/>
      <c r="C4" s="115"/>
      <c r="D4" s="115"/>
      <c r="E4" s="115"/>
      <c r="F4" s="115"/>
      <c r="G4" s="115"/>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2" t="s">
        <v>10</v>
      </c>
      <c r="C8" s="123"/>
      <c r="D8" s="123"/>
      <c r="E8" s="123"/>
      <c r="F8" s="123"/>
      <c r="G8" s="124"/>
      <c r="H8" s="1"/>
    </row>
    <row r="9" spans="1:8" x14ac:dyDescent="0.25">
      <c r="A9" s="1"/>
      <c r="B9" s="125" t="s">
        <v>271</v>
      </c>
      <c r="C9" s="126"/>
      <c r="D9" s="126"/>
      <c r="E9" s="126"/>
      <c r="F9" s="127"/>
      <c r="G9" s="22">
        <v>0</v>
      </c>
      <c r="H9" s="1"/>
    </row>
    <row r="10" spans="1:8" x14ac:dyDescent="0.25">
      <c r="A10" s="1"/>
      <c r="B10" s="33"/>
      <c r="C10" s="28"/>
      <c r="D10" s="28"/>
      <c r="E10" s="28"/>
      <c r="F10" s="28"/>
      <c r="G10" s="19"/>
      <c r="H10" s="1"/>
    </row>
    <row r="11" spans="1:8" ht="33" customHeight="1" x14ac:dyDescent="0.25">
      <c r="A11" s="1"/>
      <c r="B11" s="136" t="s">
        <v>264</v>
      </c>
      <c r="C11" s="136"/>
      <c r="D11" s="136"/>
      <c r="E11" s="136"/>
      <c r="F11" s="136"/>
      <c r="G11" s="136"/>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RrlIT4nCZPn5GDMJdD1DTM/aCG6j0y5WVtRj386GodSEXvkDleL/gbsHi2zjykE9/lpu7yYDxzb3TrIeFbMuaA==" saltValue="9mSJv+SCZOel1qtdmhWsS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2023-11-14T17:08:16Z</dcterms:modified>
</cp:coreProperties>
</file>