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Faxe Vandforsyning AS (V047)\ØR2025\"/>
    </mc:Choice>
  </mc:AlternateContent>
  <xr:revisionPtr revIDLastSave="0" documentId="13_ncr:1_{69750542-247F-4CB3-968B-AA6A9E3DBE7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<sst xmlns="http://schemas.openxmlformats.org/spreadsheetml/2006/main" count="452" uniqueCount="206">
  <si>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</si>
  <si>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</si>
  <si>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</si>
  <si>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</si>
  <si>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</si>
  <si>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</si>
  <si>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</si>
  <si>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</si>
  <si>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</si>
  <si>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</si>
  <si>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</si>
  <si>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</si>
  <si>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</si>
  <si>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</si>
  <si>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</si>
  <si>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</si>
  <si>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</si>
  <si>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</si>
  <si>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</si>
  <si>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</si>
  <si>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</si>
  <si>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</si>
  <si>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</si>
  <si>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</si>
  <si>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</si>
  <si>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</si>
  <si>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</si>
  <si>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</si>
  <si>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</si>
  <si>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</si>
  <si>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</si>
  <si>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</si>
  <si>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</si>
  <si>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</si>
  <si>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</si>
  <si>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</si>
  <si>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</si>
  <si>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</si>
  <si>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</si>
  <si>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</si>
  <si>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</si>
  <si>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</si>
  <si>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</si>
  <si>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</si>
  <si>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</si>
  <si>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</si>
  <si>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</si>
  <si>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</si>
  <si>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</si>
  <si>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</si>
  <si>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</si>
  <si>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</si>
  <si>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</si>
  <si>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</si>
  <si>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</si>
  <si>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</si>
  <si>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</si>
  <si>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</si>
  <si>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</si>
  <si>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</si>
  <si>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</si>
  <si>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</si>
  <si>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</si>
  <si>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</si>
  <si>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</si>
  <si>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</si>
  <si>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</si>
  <si>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</si>
  <si>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</si>
  <si>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</si>
  <si>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</si>
  <si>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</si>
  <si>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</si>
  <si>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</si>
  <si>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</si>
  <si>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</si>
  <si>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</si>
  <si>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</si>
  <si>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</si>
  <si>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</si>
  <si>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</si>
  <si>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</si>
  <si>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</si>
  <si>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</si>
  <si>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</si>
  <si>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</si>
  <si>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</si>
  <si>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</si>
  <si>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</si>
  <si>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</si>
  <si>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</si>
  <si>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</si>
  <si>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</si>
  <si>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</si>
  <si>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</si>
  <si>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</si>
  <si>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</si>
  <si>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</si>
  <si>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</si>
  <si>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</si>
  <si>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</si>
  <si>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</si>
  <si>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</si>
  <si>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</si>
  <si>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</si>
  <si>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</si>
  <si>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</si>
  <si>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</si>
  <si>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</si>
  <si>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</si>
  <si>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</si>
  <si>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</si>
  <si>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</si>
  <si>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</si>
  <si>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</si>
  <si>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</si>
  <si>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</si>
  <si>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</si>
  <si>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</si>
  <si>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</si>
  <si>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</si>
  <si>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</si>
  <si>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</si>
  <si>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</si>
  <si>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</si>
  <si>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</si>
  <si>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</si>
  <si>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</si>
  <si>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</si>
  <si>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</si>
  <si>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</si>
  <si>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</si>
  <si>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</si>
  <si>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</si>
  <si>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</si>
  <si>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</si>
  <si>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</si>
  <si>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</si>
  <si>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</si>
  <si>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</si>
  <si>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</si>
  <si>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</si>
  <si>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</si>
  <si>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</si>
  <si>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</si>
  <si>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</si>
  <si>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</si>
  <si>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</si>
  <si>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</si>
  <si>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</si>
  <si>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</si>
  <si>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</si>
  <si>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</si>
  <si>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</si>
  <si>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</si>
  <si>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</si>
  <si>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</si>
  <si>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</si>
  <si>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</si>
  <si>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</si>
  <si>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</si>
  <si>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</si>
  <si>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</si>
  <si>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</si>
  <si>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</si>
  <si>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</si>
  <si>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</si>
  <si>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</si>
  <si>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</si>
  <si>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</si>
  <si>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</si>
  <si>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</si>
  <si>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</si>
  <si>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</si>
  <si>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</si>
  <si>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</si>
  <si>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</si>
  <si>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</si>
  <si>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</si>
  <si>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</si>
  <si>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</si>
  <si>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</si>
  <si>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</si>
  <si>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</si>
  <si>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</si>
  <si>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</si>
  <si>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</si>
  <si>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</si>
  <si>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</si>
  <si>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</si>
  <si>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</si>
  <si>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</si>
  <si>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</si>
  <si>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</si>
  <si>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</si>
  <si>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</si>
  <si>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</si>
  <si>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</si>
  <si>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</si>
  <si>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</si>
  <si>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</si>
  <si>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</si>
  <si>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Frivillige aftaler om dyrkningspraksis eller andre restriktioner i arealanvendelse</t>
  </si>
  <si>
    <t>Udvidelse af forsyningsområde - Nye tilslutninger</t>
  </si>
  <si>
    <t>Udvidelse af solgte vandmængder til storkunde</t>
  </si>
  <si>
    <t>Periodevise driftsomkostninger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</si>
</sst>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9" t="s">
        <v>4</v>
      </c>
      <c r="D6" s="89"/>
      <c r="E6" s="89"/>
      <c r="F6" s="89"/>
      <c r="G6" s="1"/>
    </row>
    <row r="7" spans="1:7" ht="15" customHeight="1" x14ac:dyDescent="0.25">
      <c r="A7" s="1"/>
      <c r="B7" s="3"/>
      <c r="C7" s="89"/>
      <c r="D7" s="89"/>
      <c r="E7" s="89"/>
      <c r="F7" s="89"/>
      <c r="G7" s="1"/>
    </row>
    <row r="8" spans="1:7" ht="15.75" x14ac:dyDescent="0.25">
      <c r="A8" s="1"/>
      <c r="B8" s="4"/>
      <c r="C8" s="91" t="s">
        <v>198</v>
      </c>
      <c r="D8" s="91"/>
      <c r="E8" s="91"/>
      <c r="F8" s="91"/>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90" t="s">
        <v>5</v>
      </c>
      <c r="D11" s="90"/>
      <c r="E11" s="90"/>
      <c r="F11" s="90"/>
      <c r="G11" s="1"/>
    </row>
    <row r="12" spans="1:7" x14ac:dyDescent="0.25">
      <c r="A12" s="1"/>
      <c r="B12" s="1"/>
      <c r="C12" s="1"/>
      <c r="D12" s="1"/>
      <c r="E12" s="1"/>
      <c r="F12" s="1"/>
      <c r="G12" s="1"/>
    </row>
    <row r="13" spans="1:7" x14ac:dyDescent="0.25">
      <c r="A13" s="1"/>
      <c r="B13" s="6" t="s">
        <v>6</v>
      </c>
      <c r="C13" s="86" t="s">
        <v>124</v>
      </c>
      <c r="D13" s="87"/>
      <c r="E13" s="87"/>
      <c r="F13" s="88"/>
      <c r="G13" s="1"/>
    </row>
    <row r="14" spans="1:7" x14ac:dyDescent="0.25">
      <c r="A14" s="1"/>
      <c r="B14" s="6" t="s">
        <v>14</v>
      </c>
      <c r="C14" s="86" t="s">
        <v>159</v>
      </c>
      <c r="D14" s="87"/>
      <c r="E14" s="87"/>
      <c r="F14" s="88"/>
      <c r="G14" s="1"/>
    </row>
    <row r="15" spans="1:7" x14ac:dyDescent="0.25">
      <c r="A15" s="1"/>
      <c r="B15" s="6" t="s">
        <v>29</v>
      </c>
      <c r="C15" s="86" t="s">
        <v>107</v>
      </c>
      <c r="D15" s="87"/>
      <c r="E15" s="87"/>
      <c r="F15" s="88"/>
      <c r="G15" s="1"/>
    </row>
    <row r="16" spans="1:7" x14ac:dyDescent="0.25">
      <c r="A16" s="1"/>
      <c r="B16" s="6" t="s">
        <v>30</v>
      </c>
      <c r="C16" s="86" t="s">
        <v>125</v>
      </c>
      <c r="D16" s="87"/>
      <c r="E16" s="87"/>
      <c r="F16" s="88"/>
      <c r="G16" s="1"/>
    </row>
    <row r="17" spans="1:7" x14ac:dyDescent="0.25">
      <c r="A17" s="1"/>
      <c r="B17" s="6" t="s">
        <v>57</v>
      </c>
      <c r="C17" s="86" t="s">
        <v>126</v>
      </c>
      <c r="D17" s="87"/>
      <c r="E17" s="87"/>
      <c r="F17" s="88"/>
      <c r="G17" s="1"/>
    </row>
    <row r="18" spans="1:7" x14ac:dyDescent="0.25">
      <c r="A18" s="1"/>
      <c r="B18" s="6" t="s">
        <v>49</v>
      </c>
      <c r="C18" s="92" t="s">
        <v>42</v>
      </c>
      <c r="D18" s="93"/>
      <c r="E18" s="93"/>
      <c r="F18" s="94"/>
      <c r="G18" s="1"/>
    </row>
    <row r="19" spans="1:7" x14ac:dyDescent="0.25">
      <c r="A19" s="1"/>
      <c r="B19" s="6" t="s">
        <v>50</v>
      </c>
      <c r="C19" s="92" t="s">
        <v>43</v>
      </c>
      <c r="D19" s="93"/>
      <c r="E19" s="93"/>
      <c r="F19" s="94"/>
      <c r="G19" s="1"/>
    </row>
    <row r="20" spans="1:7" x14ac:dyDescent="0.25">
      <c r="A20" s="1"/>
      <c r="B20" s="6" t="s">
        <v>7</v>
      </c>
      <c r="C20" s="92" t="s">
        <v>9</v>
      </c>
      <c r="D20" s="93"/>
      <c r="E20" s="93"/>
      <c r="F20" s="94"/>
      <c r="G20" s="1"/>
    </row>
    <row r="21" spans="1:7" x14ac:dyDescent="0.25">
      <c r="A21" s="1"/>
      <c r="B21" s="6" t="s">
        <v>51</v>
      </c>
      <c r="C21" s="83" t="s">
        <v>11</v>
      </c>
      <c r="D21" s="84"/>
      <c r="E21" s="84"/>
      <c r="F21" s="85"/>
      <c r="G21" s="1"/>
    </row>
    <row r="22" spans="1:7" x14ac:dyDescent="0.25">
      <c r="A22" s="1"/>
      <c r="B22" s="6" t="s">
        <v>37</v>
      </c>
      <c r="C22" s="77" t="s">
        <v>127</v>
      </c>
      <c r="D22" s="78"/>
      <c r="E22" s="78"/>
      <c r="F22" s="79"/>
      <c r="G22" s="1"/>
    </row>
    <row r="23" spans="1:7" x14ac:dyDescent="0.25">
      <c r="A23" s="1"/>
      <c r="B23" s="6" t="s">
        <v>8</v>
      </c>
      <c r="C23" s="77" t="s">
        <v>89</v>
      </c>
      <c r="D23" s="78"/>
      <c r="E23" s="78"/>
      <c r="F23" s="79"/>
      <c r="G23" s="1"/>
    </row>
    <row r="24" spans="1:7" x14ac:dyDescent="0.25">
      <c r="A24" s="1"/>
      <c r="B24" s="6" t="s">
        <v>85</v>
      </c>
      <c r="C24" s="77" t="s">
        <v>78</v>
      </c>
      <c r="D24" s="78"/>
      <c r="E24" s="78"/>
      <c r="F24" s="79"/>
      <c r="G24" s="1"/>
    </row>
    <row r="25" spans="1:7" x14ac:dyDescent="0.25">
      <c r="A25" s="1"/>
      <c r="B25" s="6" t="s">
        <v>86</v>
      </c>
      <c r="C25" s="77" t="s">
        <v>38</v>
      </c>
      <c r="D25" s="78"/>
      <c r="E25" s="78"/>
      <c r="F25" s="79"/>
      <c r="G25" s="1"/>
    </row>
    <row r="26" spans="1:7" x14ac:dyDescent="0.25">
      <c r="A26" s="1"/>
      <c r="B26" s="6" t="s">
        <v>87</v>
      </c>
      <c r="C26" s="77" t="s">
        <v>39</v>
      </c>
      <c r="D26" s="78"/>
      <c r="E26" s="78"/>
      <c r="F26" s="79"/>
      <c r="G26" s="1"/>
    </row>
    <row r="27" spans="1:7" x14ac:dyDescent="0.25">
      <c r="A27" s="1"/>
      <c r="B27" s="6" t="s">
        <v>52</v>
      </c>
      <c r="C27" s="77" t="s">
        <v>58</v>
      </c>
      <c r="D27" s="78"/>
      <c r="E27" s="78"/>
      <c r="F27" s="79"/>
      <c r="G27" s="1"/>
    </row>
    <row r="28" spans="1:7" x14ac:dyDescent="0.25">
      <c r="A28" s="1"/>
      <c r="B28" s="6" t="s">
        <v>46</v>
      </c>
      <c r="C28" s="77" t="s">
        <v>31</v>
      </c>
      <c r="D28" s="78"/>
      <c r="E28" s="78"/>
      <c r="F28" s="79"/>
      <c r="G28" s="1"/>
    </row>
    <row r="29" spans="1:7" x14ac:dyDescent="0.25">
      <c r="A29" s="1"/>
      <c r="B29" s="6" t="s">
        <v>88</v>
      </c>
      <c r="C29" s="80" t="s">
        <v>47</v>
      </c>
      <c r="D29" s="81"/>
      <c r="E29" s="81"/>
      <c r="F29" s="8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5ceQ1nmGlTWcqFlR9NFTl1lZ/3wSViwmt/D7Oezte1SRYON8rIeAT4zPOtHvM9KwDdzGTEa3vd3UTNVM45AbTQ==" saltValue="QdSsdLInEwGXJZOehe3n8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142</v>
      </c>
      <c r="C8" s="100"/>
      <c r="D8" s="101"/>
      <c r="E8" s="1"/>
    </row>
    <row r="9" spans="1:5" ht="15" customHeight="1" x14ac:dyDescent="0.25">
      <c r="A9" s="1"/>
      <c r="B9" s="51" t="s">
        <v>27</v>
      </c>
      <c r="C9" s="45" t="s">
        <v>145</v>
      </c>
      <c r="D9" s="11"/>
      <c r="E9" s="1"/>
    </row>
    <row r="10" spans="1:5" ht="15" customHeight="1" x14ac:dyDescent="0.25">
      <c r="A10" s="1"/>
      <c r="B10" s="65" t="s">
        <v>199</v>
      </c>
      <c r="C10" s="66">
        <v>12206066</v>
      </c>
      <c r="D10" s="14" t="s">
        <v>3</v>
      </c>
      <c r="E10" s="1"/>
    </row>
    <row r="11" spans="1:5" x14ac:dyDescent="0.25">
      <c r="A11" s="1"/>
      <c r="B11" s="65" t="s">
        <v>200</v>
      </c>
      <c r="C11" s="66">
        <v>79550</v>
      </c>
      <c r="D11" s="14" t="s">
        <v>3</v>
      </c>
      <c r="E11" s="1"/>
    </row>
    <row r="12" spans="1:5" x14ac:dyDescent="0.25">
      <c r="A12" s="1"/>
      <c r="B12" s="65" t="s">
        <v>201</v>
      </c>
      <c r="C12" s="66">
        <v>38268</v>
      </c>
      <c r="D12" s="14" t="s">
        <v>3</v>
      </c>
      <c r="E12" s="1"/>
    </row>
    <row r="13" spans="1:5" ht="25.5" x14ac:dyDescent="0.25">
      <c r="A13" s="1"/>
      <c r="B13" s="65" t="s">
        <v>202</v>
      </c>
      <c r="C13" s="66">
        <v>79091</v>
      </c>
      <c r="D13" s="14" t="s">
        <v>3</v>
      </c>
      <c r="E13" s="1"/>
    </row>
    <row r="14" spans="1:5" x14ac:dyDescent="0.25">
      <c r="A14" s="1"/>
      <c r="B14" s="65"/>
      <c r="C14" s="66"/>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12402975</v>
      </c>
      <c r="D19" s="13" t="s">
        <v>3</v>
      </c>
      <c r="E19" s="1"/>
    </row>
    <row r="20" spans="1:5" x14ac:dyDescent="0.25">
      <c r="A20" s="1"/>
      <c r="B20" s="52" t="s">
        <v>144</v>
      </c>
      <c r="C20" s="12">
        <f>C19*(1+'Fane 13. Nøgletal'!C11)^2</f>
        <v>14102129.118177749</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lq8f1NesFO6OPDbZ6Q6Fp6xlKumOzycuUJBLDaSIXeYin6/WdU+nrpwC35dTals4dci48e6R5KDCx62uJsBy3Q==" saltValue="Lp0EzGxem4exFlId4D5w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7" t="s">
        <v>172</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9"/>
      <c r="C6" s="69"/>
      <c r="D6" s="69"/>
      <c r="E6" s="1"/>
    </row>
    <row r="7" spans="1:5" x14ac:dyDescent="0.25">
      <c r="A7" s="1"/>
      <c r="B7" s="1"/>
      <c r="C7" s="1"/>
      <c r="D7" s="1"/>
      <c r="E7" s="1"/>
    </row>
    <row r="8" spans="1:5" x14ac:dyDescent="0.25">
      <c r="A8" s="1"/>
      <c r="B8" s="99" t="s">
        <v>175</v>
      </c>
      <c r="C8" s="100"/>
      <c r="D8" s="101"/>
      <c r="E8" s="1"/>
    </row>
    <row r="9" spans="1:5" x14ac:dyDescent="0.25">
      <c r="A9" s="1"/>
      <c r="B9" s="56" t="s">
        <v>176</v>
      </c>
      <c r="C9" s="9">
        <v>-447350.40615934134</v>
      </c>
      <c r="D9" s="39" t="s">
        <v>3</v>
      </c>
      <c r="E9" s="1"/>
    </row>
    <row r="10" spans="1:5" x14ac:dyDescent="0.25">
      <c r="A10" s="1"/>
      <c r="B10" s="56" t="s">
        <v>174</v>
      </c>
      <c r="C10" s="9">
        <v>-3451821.5794213936</v>
      </c>
      <c r="D10" s="14" t="s">
        <v>3</v>
      </c>
      <c r="E10" s="1"/>
    </row>
    <row r="11" spans="1:5" x14ac:dyDescent="0.25">
      <c r="A11" s="1"/>
      <c r="B11" s="52"/>
      <c r="C11" s="53"/>
      <c r="D11" s="19"/>
      <c r="E11" s="1"/>
    </row>
    <row r="12" spans="1:5" ht="53.85" customHeight="1" x14ac:dyDescent="0.25">
      <c r="A12" s="1"/>
      <c r="B12" s="108" t="s">
        <v>173</v>
      </c>
      <c r="C12" s="109"/>
      <c r="D12" s="110"/>
      <c r="E12" s="1"/>
    </row>
    <row r="13" spans="1:5" x14ac:dyDescent="0.25">
      <c r="A13" s="1"/>
      <c r="B13" s="1"/>
      <c r="C13" s="1"/>
      <c r="D13" s="1"/>
      <c r="E13" s="1"/>
    </row>
    <row r="14" spans="1:5" x14ac:dyDescent="0.25">
      <c r="A14" s="1"/>
      <c r="B14" s="70" t="s">
        <v>177</v>
      </c>
      <c r="C14" s="71"/>
      <c r="D14" s="72"/>
      <c r="E14" s="1"/>
    </row>
    <row r="15" spans="1:5" x14ac:dyDescent="0.25">
      <c r="A15" s="1"/>
      <c r="B15" s="56" t="s">
        <v>178</v>
      </c>
      <c r="C15" s="9">
        <f>IF(C10&lt;0,C10,0)</f>
        <v>-3451821.5794213936</v>
      </c>
      <c r="D15" s="14" t="s">
        <v>3</v>
      </c>
      <c r="E15" s="1"/>
    </row>
    <row r="16" spans="1:5" x14ac:dyDescent="0.25">
      <c r="A16" s="1"/>
      <c r="B16" s="56" t="s">
        <v>185</v>
      </c>
      <c r="C16" s="9">
        <f>IF(SUM(C9)&gt;0,SUM(C9),0)</f>
        <v>0</v>
      </c>
      <c r="D16" s="14" t="s">
        <v>3</v>
      </c>
      <c r="E16" s="1"/>
    </row>
    <row r="17" spans="1:5" ht="26.25" x14ac:dyDescent="0.25">
      <c r="A17" s="1"/>
      <c r="B17" s="73" t="s">
        <v>179</v>
      </c>
      <c r="C17" s="62">
        <f>IF(SUM(C15:C16)&gt;0,0,SUM(C15:C16))</f>
        <v>-3451821.5794213936</v>
      </c>
      <c r="D17" s="17" t="s">
        <v>3</v>
      </c>
      <c r="E17" s="1"/>
    </row>
    <row r="18" spans="1:5" x14ac:dyDescent="0.25">
      <c r="A18" s="1"/>
      <c r="B18" s="52"/>
      <c r="C18" s="53"/>
      <c r="D18" s="19"/>
      <c r="E18" s="1"/>
    </row>
    <row r="19" spans="1:5" x14ac:dyDescent="0.25">
      <c r="A19" s="1"/>
      <c r="B19" s="1"/>
      <c r="C19" s="1"/>
      <c r="D19" s="1"/>
      <c r="E19" s="1"/>
    </row>
    <row r="20" spans="1:5" x14ac:dyDescent="0.25">
      <c r="A20" s="1"/>
      <c r="B20" s="70" t="s">
        <v>180</v>
      </c>
      <c r="C20" s="71"/>
      <c r="D20" s="72"/>
      <c r="E20" s="1"/>
    </row>
    <row r="21" spans="1:5" x14ac:dyDescent="0.25">
      <c r="A21" s="1"/>
      <c r="B21" s="56" t="s">
        <v>181</v>
      </c>
      <c r="C21" s="9">
        <v>24833310.186584137</v>
      </c>
      <c r="D21" s="14" t="s">
        <v>3</v>
      </c>
      <c r="E21" s="1"/>
    </row>
    <row r="22" spans="1:5" x14ac:dyDescent="0.25">
      <c r="A22" s="1"/>
      <c r="B22" s="56" t="s">
        <v>182</v>
      </c>
      <c r="C22" s="9">
        <v>25957920</v>
      </c>
      <c r="D22" s="14" t="s">
        <v>3</v>
      </c>
      <c r="E22" s="1"/>
    </row>
    <row r="23" spans="1:5" x14ac:dyDescent="0.25">
      <c r="A23" s="1"/>
      <c r="B23" s="56" t="s">
        <v>28</v>
      </c>
      <c r="C23" s="9">
        <v>0</v>
      </c>
      <c r="D23" s="14" t="s">
        <v>3</v>
      </c>
      <c r="E23" s="1"/>
    </row>
    <row r="24" spans="1:5" x14ac:dyDescent="0.25">
      <c r="A24" s="1"/>
      <c r="B24" s="75" t="s">
        <v>183</v>
      </c>
      <c r="C24" s="46">
        <f>C21-C22-C23</f>
        <v>-1124609.8134158626</v>
      </c>
      <c r="D24" s="17" t="s">
        <v>3</v>
      </c>
      <c r="E24" s="1"/>
    </row>
    <row r="25" spans="1:5" x14ac:dyDescent="0.25">
      <c r="A25" s="1"/>
      <c r="B25" s="52"/>
      <c r="C25" s="53"/>
      <c r="D25" s="19"/>
      <c r="E25" s="1"/>
    </row>
    <row r="26" spans="1:5" x14ac:dyDescent="0.25">
      <c r="A26" s="1"/>
      <c r="B26" s="1"/>
      <c r="C26" s="1"/>
      <c r="D26" s="1"/>
      <c r="E26" s="1"/>
    </row>
    <row r="27" spans="1:5" x14ac:dyDescent="0.25">
      <c r="A27" s="1"/>
      <c r="B27" s="99" t="s">
        <v>184</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-4576431.3928372562</v>
      </c>
      <c r="D28" s="14" t="s">
        <v>3</v>
      </c>
      <c r="E28" s="1"/>
    </row>
    <row r="29" spans="1:5" x14ac:dyDescent="0.25">
      <c r="A29" s="1"/>
      <c r="B29" s="57" t="s">
        <v>48</v>
      </c>
      <c r="C29" s="9">
        <v>2</v>
      </c>
      <c r="D29" s="14" t="s">
        <v>18</v>
      </c>
      <c r="E29" s="1"/>
    </row>
    <row r="30" spans="1:5" x14ac:dyDescent="0.25">
      <c r="A30" s="1"/>
      <c r="B30" s="58" t="s">
        <v>64</v>
      </c>
      <c r="C30" s="10">
        <f>C28/C29</f>
        <v>-2288215.6964186281</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3DxUq2zTcVJv0icf/qpW0GRXdwiZ7R/l9Ih25ALOGtcy/Y5IpGRvTz/qF7Grl17n3cO1+Y1BmqbpPGvluK8pxA==" saltValue="SnAohS1y5f+IiPZCW0e/Z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7" t="s">
        <v>96</v>
      </c>
      <c r="C3" s="97"/>
      <c r="D3" s="97"/>
      <c r="E3" s="1"/>
    </row>
    <row r="4" spans="1:5" ht="15" customHeight="1" x14ac:dyDescent="0.25">
      <c r="A4" s="1"/>
      <c r="B4" s="97"/>
      <c r="C4" s="97"/>
      <c r="D4" s="97"/>
      <c r="E4" s="1"/>
    </row>
    <row r="5" spans="1:5" x14ac:dyDescent="0.25">
      <c r="A5" s="1"/>
      <c r="B5" s="97"/>
      <c r="C5" s="97"/>
      <c r="D5" s="97"/>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123</v>
      </c>
      <c r="C9" s="115"/>
      <c r="D9" s="116"/>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70"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j8fsns78bJkC0yD7dWgZ25Pz9gF//+JJtBmBHyglU20pW67MaxbsOKNRwRGWg1F7GtlecqjkL+wW+TXjGYB2g==" saltValue="RSjBg+0H2No3dmPG6bkRh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d+GyIlCiDZJFKKW0jDVdaKAGfztAQkNHsLY39f10UAlRxI5cvunygVim0GPHU/Kgt/zxWHOqAdnarx2rXcacDQ==" saltValue="zHlcoxYQgKBrQyQQDVJOO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3" t="s">
        <v>15</v>
      </c>
      <c r="C9" s="75" t="s">
        <v>10</v>
      </c>
      <c r="D9" s="74"/>
      <c r="E9" s="75"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203</v>
      </c>
      <c r="C11" s="21">
        <v>31666.44</v>
      </c>
      <c r="D11" s="14" t="s">
        <v>3</v>
      </c>
      <c r="E11" s="9">
        <v>26025.53</v>
      </c>
      <c r="F11" s="14" t="s">
        <v>3</v>
      </c>
      <c r="G11" s="1"/>
    </row>
    <row r="12" spans="1:7" x14ac:dyDescent="0.25">
      <c r="A12" s="1"/>
      <c r="B12" s="26" t="s">
        <v>204</v>
      </c>
      <c r="C12" s="21">
        <v>67583</v>
      </c>
      <c r="D12" s="14" t="s">
        <v>3</v>
      </c>
      <c r="E12" s="9">
        <v>0</v>
      </c>
      <c r="F12" s="14" t="s">
        <v>3</v>
      </c>
      <c r="G12" s="1"/>
    </row>
    <row r="13" spans="1:7" x14ac:dyDescent="0.25">
      <c r="A13" s="1"/>
      <c r="B13" s="26" t="s">
        <v>205</v>
      </c>
      <c r="C13" s="21">
        <v>29867</v>
      </c>
      <c r="D13" s="14" t="s">
        <v>3</v>
      </c>
      <c r="E13" s="9">
        <v>0</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129116.44</v>
      </c>
      <c r="D17" s="13" t="s">
        <v>3</v>
      </c>
      <c r="E17" s="12">
        <f>SUM(E10:E16)</f>
        <v>26025.53</v>
      </c>
      <c r="F17" s="13" t="s">
        <v>3</v>
      </c>
      <c r="G17" s="1"/>
    </row>
    <row r="18" spans="1:7" x14ac:dyDescent="0.25">
      <c r="A18" s="1"/>
      <c r="B18" s="52" t="s">
        <v>147</v>
      </c>
      <c r="C18" s="12">
        <f>C17*(1+'Fane 13. Nøgletal'!C11)</f>
        <v>137676.85997200001</v>
      </c>
      <c r="D18" s="13" t="s">
        <v>3</v>
      </c>
      <c r="E18" s="12">
        <f>E17*(1+'Fane 13. Nøgletal'!C11)</f>
        <v>27751.022638999999</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pC4WCzP5acHNnrzRQLfZYydE9k9x/4UFp0hOMQnksOYdSNvHzKkwjlwXSMwgy+XqIKLtGP/Q2DEEkY2JIwR32g==" saltValue="lzla/XsBMRn+SwauY7sZB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150</v>
      </c>
      <c r="C8" s="100"/>
      <c r="D8" s="100"/>
      <c r="E8" s="100"/>
      <c r="F8" s="101"/>
      <c r="G8" s="1"/>
    </row>
    <row r="9" spans="1:7" x14ac:dyDescent="0.25">
      <c r="A9" s="1"/>
      <c r="B9" s="73" t="s">
        <v>15</v>
      </c>
      <c r="C9" s="75" t="s">
        <v>10</v>
      </c>
      <c r="D9" s="76"/>
      <c r="E9" s="75" t="s">
        <v>26</v>
      </c>
      <c r="F9" s="27"/>
      <c r="G9" s="1"/>
    </row>
    <row r="10" spans="1:7" x14ac:dyDescent="0.25">
      <c r="A10" s="1"/>
      <c r="B10" s="23" t="s">
        <v>205</v>
      </c>
      <c r="C10" s="21">
        <v>89600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89600</v>
      </c>
      <c r="D13" s="13" t="s">
        <v>3</v>
      </c>
      <c r="E13" s="12">
        <f>SUM(E10:E12)</f>
        <v>0</v>
      </c>
      <c r="F13" s="13" t="s">
        <v>3</v>
      </c>
      <c r="G13" s="1"/>
    </row>
    <row r="14" spans="1:7" x14ac:dyDescent="0.25">
      <c r="A14" s="1"/>
      <c r="B14" s="52" t="s">
        <v>149</v>
      </c>
      <c r="C14" s="12">
        <f>C13*(1+'Fane 13. Nøgletal'!$C$11)^2</f>
        <v>101874.813824</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2MZZTvCBrKpqyPV+3dmDJXZc9UzbzbLdGxqz3TswBoj+ptIw9Rp2JUL24cyW5fLJFBYN3dgp5zl0cQJ9wPO7g==" saltValue="qVoeu29/riIC6FwC5LnXg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93</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4" t="s">
        <v>60</v>
      </c>
      <c r="C9" s="119" t="s">
        <v>10</v>
      </c>
      <c r="D9" s="120"/>
      <c r="E9" s="119" t="s">
        <v>26</v>
      </c>
      <c r="F9" s="120"/>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7/qwxX9lFZgFXdHVI1xfYMkzxTWBi6p2SRcZyR48uOBL1GQu7AGPNsPCBtXsc22ibgqZY44rl6MOhNK1uINxJw==" saltValue="GsLrp4QIoXikddmJQQSZ2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94</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152</v>
      </c>
      <c r="C8" s="100"/>
      <c r="D8" s="100"/>
      <c r="E8" s="100"/>
      <c r="F8" s="101"/>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CZqf+JgckhYHvP+NOq8RFTFFJ6OwqE5QqWvelTl1nFU2Yblb0kXdgosWDqhrUx5JqP72IemzguDAYhgc2eBmQ==" saltValue="pAFcPY91peVkbt4TpYm08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7" t="s">
        <v>95</v>
      </c>
      <c r="C3" s="97"/>
      <c r="D3" s="1"/>
    </row>
    <row r="4" spans="1:4" ht="15" customHeight="1" x14ac:dyDescent="0.25">
      <c r="A4" s="1"/>
      <c r="B4" s="97"/>
      <c r="C4" s="97"/>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IOIsPhmPbuufZ/GJ3pdyqbzUrlFK6sapb+Kycl8HTgPOskCJCBAVJoZDA64BpQegNxTkYVXLCMIC7mJ66xxovg==" saltValue="5I0tBJaLOmCoOUvaa03XU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13772427.133664034</v>
      </c>
      <c r="D9" s="8" t="s">
        <v>3</v>
      </c>
      <c r="E9" s="1"/>
    </row>
    <row r="10" spans="1:5" ht="17.100000000000001" customHeight="1" x14ac:dyDescent="0.25">
      <c r="A10" s="1"/>
      <c r="B10" s="24" t="s">
        <v>32</v>
      </c>
      <c r="C10" s="7">
        <f>'Fane 10.1. Varige tillæg'!C18</f>
        <v>137676.85997200001</v>
      </c>
      <c r="D10" s="8" t="s">
        <v>3</v>
      </c>
      <c r="E10" s="1"/>
    </row>
    <row r="11" spans="1:5" ht="17.100000000000001" customHeight="1" x14ac:dyDescent="0.25">
      <c r="A11" s="1"/>
      <c r="B11" s="24" t="s">
        <v>33</v>
      </c>
      <c r="C11" s="9">
        <f>'Fane 10.1. Varige tillæg'!E18</f>
        <v>27751.022638999999</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924079.7875790348</v>
      </c>
      <c r="D16" s="8" t="s">
        <v>3</v>
      </c>
      <c r="E16" s="1"/>
    </row>
    <row r="17" spans="1:5" ht="17.100000000000001" customHeight="1" x14ac:dyDescent="0.25">
      <c r="A17" s="1"/>
      <c r="B17" s="24" t="s">
        <v>9</v>
      </c>
      <c r="C17" s="9">
        <f>-SUM(C9:C16)*'Fane 5. Individuelt eff. krav'!C9</f>
        <v>-125846.26121523723</v>
      </c>
      <c r="D17" s="8" t="s">
        <v>3</v>
      </c>
      <c r="E17" s="1"/>
    </row>
    <row r="18" spans="1:5" ht="17.100000000000001" customHeight="1" x14ac:dyDescent="0.25">
      <c r="A18" s="1"/>
      <c r="B18" s="24" t="s">
        <v>21</v>
      </c>
      <c r="C18" s="9">
        <f>-'Fane 4.1. Gen. krav - drift'!C17</f>
        <v>-168289.27751169831</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5" t="s">
        <v>19</v>
      </c>
      <c r="C20" s="10">
        <f>SUM(C9:C19)</f>
        <v>14567799.265127134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14102129.118177749</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101874.813824</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-2900.1406495682249</v>
      </c>
      <c r="D26" s="8" t="s">
        <v>3</v>
      </c>
      <c r="E26" s="1"/>
    </row>
    <row r="27" spans="1:5" ht="15" customHeight="1" x14ac:dyDescent="0.25">
      <c r="A27" s="1"/>
      <c r="B27" s="24" t="s">
        <v>80</v>
      </c>
      <c r="C27" s="9">
        <f>-C25*('Fane 13. Nøgletal'!C18+'Fane 5. Individuelt eff. krav'!C9)</f>
        <v>0</v>
      </c>
      <c r="D27" s="8" t="s">
        <v>3</v>
      </c>
      <c r="E27" s="1"/>
    </row>
    <row r="28" spans="1:5" x14ac:dyDescent="0.25">
      <c r="A28" s="1"/>
      <c r="B28" s="75" t="s">
        <v>40</v>
      </c>
      <c r="C28" s="50">
        <f>SUM(C24:C27)</f>
        <v>98974.673174431766</v>
      </c>
      <c r="D28" s="11" t="s">
        <v>3</v>
      </c>
      <c r="E28" s="1"/>
    </row>
    <row r="29" spans="1:5" ht="15" customHeight="1" x14ac:dyDescent="0.25">
      <c r="A29" s="1"/>
      <c r="B29" s="25" t="s">
        <v>65</v>
      </c>
      <c r="C29" s="53"/>
      <c r="D29" s="19"/>
      <c r="E29" s="1"/>
    </row>
    <row r="30" spans="1:5" x14ac:dyDescent="0.25">
      <c r="A30" s="1"/>
      <c r="B30" s="58" t="s">
        <v>66</v>
      </c>
      <c r="C30" s="10">
        <f>'Fane 7. Kontrol af ØR2023'!C30</f>
        <v>-2288215.6964186281</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26480687.360060688</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rwk6g6L7bWdwfUuSLUs57X+cSwRS6ZqzcyC7ikq4/vfU9pLWDKDz689FVypQhGe8VGi3g8FGrTqV6NCxyHcDA==" saltValue="vfcLsocHaJ3txo66UUqt6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14567799.265127134</v>
      </c>
      <c r="D9" s="8" t="s">
        <v>3</v>
      </c>
      <c r="E9" s="1"/>
    </row>
    <row r="10" spans="1:5" ht="15" customHeight="1" x14ac:dyDescent="0.25">
      <c r="A10" s="1"/>
      <c r="B10" s="47" t="s">
        <v>17</v>
      </c>
      <c r="C10" s="41">
        <f>C9*'Fane 13. Nøgletal'!C11</f>
        <v>965845.09127792891</v>
      </c>
      <c r="D10" s="8" t="s">
        <v>3</v>
      </c>
      <c r="E10" s="1"/>
    </row>
    <row r="11" spans="1:5" ht="15" customHeight="1" x14ac:dyDescent="0.25">
      <c r="A11" s="1"/>
      <c r="B11" s="47" t="s">
        <v>9</v>
      </c>
      <c r="C11" s="9">
        <f>-SUM(C9:C10)*'Fane 5. Individuelt eff. krav'!C9</f>
        <v>-131534.0896794814</v>
      </c>
      <c r="D11" s="8" t="s">
        <v>3</v>
      </c>
      <c r="E11" s="1"/>
    </row>
    <row r="12" spans="1:5" ht="15" customHeight="1" x14ac:dyDescent="0.25">
      <c r="A12" s="1"/>
      <c r="B12" s="47" t="s">
        <v>21</v>
      </c>
      <c r="C12" s="9">
        <f>-'Fane 4.1. Gen. krav - drift'!C22</f>
        <v>-175857.91947850943</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15226252.347247072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15037100.278712934</v>
      </c>
      <c r="D16" s="11" t="s">
        <v>3</v>
      </c>
      <c r="E16" s="1"/>
    </row>
    <row r="17" spans="1:5" x14ac:dyDescent="0.25">
      <c r="A17" s="1"/>
      <c r="B17" s="25" t="s">
        <v>65</v>
      </c>
      <c r="C17" s="53"/>
      <c r="D17" s="19"/>
      <c r="E17" s="1"/>
    </row>
    <row r="18" spans="1:5" ht="15" customHeight="1" x14ac:dyDescent="0.25">
      <c r="A18" s="1"/>
      <c r="B18" s="45" t="s">
        <v>66</v>
      </c>
      <c r="C18" s="10">
        <f>'Fane 7. Kontrol af ØR2023'!C30</f>
        <v>-2288215.6964186281</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27975136.929541379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MIfxBDE0m9Jhj2EoFtG+ct4WzX9pUX41eXwdRwmx4TOwYvxU2WYNf2x5AL3laD4oEFIELS45lZzbBVnpVXEGg==" saltValue="xJsfQpuj2ek+DsBr1DvPO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15226252.347247072</v>
      </c>
      <c r="D9" s="8" t="s">
        <v>3</v>
      </c>
      <c r="E9" s="1"/>
    </row>
    <row r="10" spans="1:5" ht="15" customHeight="1" x14ac:dyDescent="0.25">
      <c r="A10" s="1"/>
      <c r="B10" s="47" t="s">
        <v>17</v>
      </c>
      <c r="C10" s="41">
        <f>C9*'Fane 13. Nøgletal'!C11</f>
        <v>1009500.5306224808</v>
      </c>
      <c r="D10" s="8" t="s">
        <v>3</v>
      </c>
      <c r="E10" s="1"/>
    </row>
    <row r="11" spans="1:5" ht="15" customHeight="1" x14ac:dyDescent="0.25">
      <c r="A11" s="1"/>
      <c r="B11" s="47" t="s">
        <v>9</v>
      </c>
      <c r="C11" s="9">
        <f>-SUM(C9:C10)*'Fane 5. Individuelt eff. krav'!C9</f>
        <v>-137479.32719800092</v>
      </c>
      <c r="D11" s="8" t="s">
        <v>3</v>
      </c>
      <c r="E11" s="1"/>
    </row>
    <row r="12" spans="1:5" ht="15" customHeight="1" x14ac:dyDescent="0.25">
      <c r="A12" s="1"/>
      <c r="B12" s="47" t="s">
        <v>21</v>
      </c>
      <c r="C12" s="9">
        <f>-'Fane 4.1. Gen. krav - drift'!C27</f>
        <v>-183766.95354913591</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15914506.597122416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16034060.027191602</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31948566.624314018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yeRYPFEHbrOZ6dEzVCJKE50iOFMnt6ye9BMQOcHQeMp6jz7kyWaSFWgpluKbeDbHHGXjS2MDGBZZhLatUP7qg==" saltValue="9QNfp43s44pWP91ZtP1bk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131</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15914506.597122416</v>
      </c>
      <c r="D9" s="8" t="s">
        <v>3</v>
      </c>
      <c r="E9" s="1"/>
    </row>
    <row r="10" spans="1:5" ht="15" customHeight="1" x14ac:dyDescent="0.25">
      <c r="A10" s="1"/>
      <c r="B10" s="47" t="s">
        <v>17</v>
      </c>
      <c r="C10" s="9">
        <f>C9*'Fane 13. Nøgletal'!C11</f>
        <v>1055131.7873892162</v>
      </c>
      <c r="D10" s="8" t="s">
        <v>3</v>
      </c>
      <c r="E10" s="1"/>
    </row>
    <row r="11" spans="1:5" ht="15" customHeight="1" x14ac:dyDescent="0.25">
      <c r="A11" s="1"/>
      <c r="B11" s="47" t="s">
        <v>9</v>
      </c>
      <c r="C11" s="9">
        <f>-SUM(C9:C10)*'Fane 5. Individuelt eff. krav'!C9</f>
        <v>-143693.64238575194</v>
      </c>
      <c r="D11" s="8" t="s">
        <v>3</v>
      </c>
      <c r="E11" s="1"/>
    </row>
    <row r="12" spans="1:5" ht="15" customHeight="1" x14ac:dyDescent="0.25">
      <c r="A12" s="1"/>
      <c r="B12" s="47" t="s">
        <v>21</v>
      </c>
      <c r="C12" s="9">
        <f>-'Fane 4.1. Gen. krav - drift'!C32</f>
        <v>-192031.68851805478</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16633913.053607825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17097118.206994407</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33731031.260602236</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x9aBwMEl1MtRss5dlgLW90MAZOfLMxz6egW//Ru4ZmjUSfiqcR064SlJSYY19zBajs/OtQpT8nZelCipzvbMA==" saltValue="RUvy+4EraQGfWKKvbW61J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7" t="s">
        <v>134</v>
      </c>
      <c r="C3" s="97"/>
      <c r="D3" s="97"/>
      <c r="E3" s="1"/>
    </row>
    <row r="4" spans="1:5" ht="15" customHeight="1" x14ac:dyDescent="0.25">
      <c r="A4" s="1"/>
      <c r="B4" s="97"/>
      <c r="C4" s="97"/>
      <c r="D4" s="97"/>
      <c r="E4" s="1"/>
    </row>
    <row r="5" spans="1:5" ht="15" customHeight="1" x14ac:dyDescent="0.25">
      <c r="A5" s="1"/>
      <c r="B5" s="69"/>
      <c r="C5" s="69"/>
      <c r="D5" s="69"/>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12806717.155622032</v>
      </c>
      <c r="D9" s="8" t="s">
        <v>3</v>
      </c>
      <c r="E9" s="1"/>
    </row>
    <row r="10" spans="1:5" x14ac:dyDescent="0.25">
      <c r="A10" s="1"/>
      <c r="B10" s="24" t="s">
        <v>32</v>
      </c>
      <c r="C10" s="7">
        <v>609462.81737599999</v>
      </c>
      <c r="D10" s="8" t="s">
        <v>3</v>
      </c>
      <c r="E10" s="1"/>
    </row>
    <row r="11" spans="1:5" ht="15" customHeight="1" x14ac:dyDescent="0.25">
      <c r="A11" s="1"/>
      <c r="B11" s="24" t="s">
        <v>33</v>
      </c>
      <c r="C11" s="9">
        <v>130608.95176000001</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515716.92968633305</v>
      </c>
      <c r="D16" s="8" t="s">
        <v>3</v>
      </c>
      <c r="E16" s="1"/>
    </row>
    <row r="17" spans="1:5" x14ac:dyDescent="0.25">
      <c r="A17" s="1"/>
      <c r="B17" s="24" t="s">
        <v>9</v>
      </c>
      <c r="C17" s="9">
        <v>-131842.07489637955</v>
      </c>
      <c r="D17" s="8" t="s">
        <v>3</v>
      </c>
      <c r="E17" s="1"/>
    </row>
    <row r="18" spans="1:5" x14ac:dyDescent="0.25">
      <c r="A18" s="1"/>
      <c r="B18" s="24" t="s">
        <v>21</v>
      </c>
      <c r="C18" s="9">
        <v>-158236.64588395064</v>
      </c>
      <c r="D18" s="8" t="s">
        <v>3</v>
      </c>
      <c r="E18" s="1"/>
    </row>
    <row r="19" spans="1:5" x14ac:dyDescent="0.25">
      <c r="A19" s="1"/>
      <c r="B19" s="24" t="s">
        <v>22</v>
      </c>
      <c r="C19" s="9">
        <v>0</v>
      </c>
      <c r="D19" s="8" t="s">
        <v>3</v>
      </c>
      <c r="E19" s="1"/>
    </row>
    <row r="20" spans="1:5" x14ac:dyDescent="0.25">
      <c r="A20" s="1"/>
      <c r="B20" s="75" t="s">
        <v>19</v>
      </c>
      <c r="C20" s="10">
        <v>13772427.133664034</v>
      </c>
      <c r="D20" s="11" t="s">
        <v>3</v>
      </c>
      <c r="E20" s="1"/>
    </row>
    <row r="21" spans="1:5" x14ac:dyDescent="0.25">
      <c r="A21" s="1"/>
      <c r="B21" s="52" t="s">
        <v>11</v>
      </c>
      <c r="C21" s="53"/>
      <c r="D21" s="19"/>
      <c r="E21" s="1"/>
    </row>
    <row r="22" spans="1:5" x14ac:dyDescent="0.25">
      <c r="A22" s="1"/>
      <c r="B22" s="54" t="s">
        <v>11</v>
      </c>
      <c r="C22" s="10">
        <v>14200073.335292276</v>
      </c>
      <c r="D22" s="11" t="s">
        <v>3</v>
      </c>
      <c r="E22" s="1"/>
    </row>
    <row r="23" spans="1:5" x14ac:dyDescent="0.25">
      <c r="A23" s="1"/>
      <c r="B23" s="52" t="s">
        <v>39</v>
      </c>
      <c r="C23" s="53"/>
      <c r="D23" s="19"/>
      <c r="E23" s="1"/>
    </row>
    <row r="24" spans="1:5" ht="15" customHeight="1" x14ac:dyDescent="0.25">
      <c r="A24" s="1"/>
      <c r="B24" s="24" t="s">
        <v>35</v>
      </c>
      <c r="C24" s="9">
        <v>853971.46940636146</v>
      </c>
      <c r="D24" s="8" t="s">
        <v>3</v>
      </c>
      <c r="E24" s="1"/>
    </row>
    <row r="25" spans="1:5" ht="14.25" customHeight="1" x14ac:dyDescent="0.25">
      <c r="A25" s="1"/>
      <c r="B25" s="24" t="s">
        <v>36</v>
      </c>
      <c r="C25" s="9">
        <v>0</v>
      </c>
      <c r="D25" s="8" t="s">
        <v>3</v>
      </c>
      <c r="E25" s="1"/>
    </row>
    <row r="26" spans="1:5" ht="14.25" customHeight="1" x14ac:dyDescent="0.25">
      <c r="A26" s="1"/>
      <c r="B26" s="24" t="s">
        <v>79</v>
      </c>
      <c r="C26" s="9">
        <v>-25085.781285450114</v>
      </c>
      <c r="D26" s="8" t="s">
        <v>3</v>
      </c>
      <c r="E26" s="1"/>
    </row>
    <row r="27" spans="1:5" ht="14.25" customHeight="1" x14ac:dyDescent="0.25">
      <c r="A27" s="1"/>
      <c r="B27" s="24" t="s">
        <v>80</v>
      </c>
      <c r="C27" s="9">
        <v>0</v>
      </c>
      <c r="D27" s="8" t="s">
        <v>3</v>
      </c>
      <c r="E27" s="1"/>
    </row>
    <row r="28" spans="1:5" ht="14.25" customHeight="1" x14ac:dyDescent="0.25">
      <c r="A28" s="1"/>
      <c r="B28" s="75" t="s">
        <v>40</v>
      </c>
      <c r="C28" s="63">
        <v>828885.68812091136</v>
      </c>
      <c r="D28" s="11" t="s">
        <v>3</v>
      </c>
      <c r="E28" s="1"/>
    </row>
    <row r="29" spans="1:5" x14ac:dyDescent="0.25">
      <c r="A29" s="1"/>
      <c r="B29" s="25" t="s">
        <v>65</v>
      </c>
      <c r="C29" s="53"/>
      <c r="D29" s="19"/>
      <c r="E29" s="1"/>
    </row>
    <row r="30" spans="1:5" x14ac:dyDescent="0.25">
      <c r="A30" s="1"/>
      <c r="B30" s="58" t="s">
        <v>66</v>
      </c>
      <c r="C30" s="10">
        <v>-307863</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784034.53550862567</v>
      </c>
      <c r="D34" s="11" t="s">
        <v>3</v>
      </c>
      <c r="E34" s="1"/>
    </row>
    <row r="35" spans="1:5" ht="15.6" customHeight="1" x14ac:dyDescent="0.25">
      <c r="A35" s="1"/>
      <c r="B35" s="52" t="s">
        <v>67</v>
      </c>
      <c r="C35" s="29">
        <v>29277557.692585848</v>
      </c>
      <c r="D35" s="19" t="s">
        <v>3</v>
      </c>
      <c r="E35" s="1"/>
    </row>
    <row r="36" spans="1:5" ht="30" customHeight="1" x14ac:dyDescent="0.25">
      <c r="A36" s="1"/>
      <c r="B36" s="98" t="s">
        <v>195</v>
      </c>
      <c r="C36" s="98"/>
      <c r="D36" s="98"/>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eHSjjp+ni4DNnBawaRF4Aqx1ybCuhYw/qs5mn/rCNWYQCh1Jvi0m69N1lksIooBJTRhwYiHMaF4i+7J78o3vIA==" saltValue="CNkPcyvZSlOQsbrIxJQHng=="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7" t="s">
        <v>53</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9"/>
      <c r="C6" s="69"/>
      <c r="D6" s="69"/>
      <c r="E6" s="1"/>
    </row>
    <row r="7" spans="1:5" x14ac:dyDescent="0.25">
      <c r="A7" s="1"/>
      <c r="B7" s="1"/>
      <c r="C7" s="32"/>
      <c r="D7" s="1"/>
      <c r="E7" s="1"/>
    </row>
    <row r="8" spans="1:5" x14ac:dyDescent="0.25">
      <c r="A8" s="1"/>
      <c r="B8" s="99" t="s">
        <v>75</v>
      </c>
      <c r="C8" s="100"/>
      <c r="D8" s="101"/>
      <c r="E8" s="1"/>
    </row>
    <row r="9" spans="1:5" x14ac:dyDescent="0.25">
      <c r="A9" s="1"/>
      <c r="B9" s="56" t="s">
        <v>167</v>
      </c>
      <c r="C9" s="22">
        <v>7253124.8811775511</v>
      </c>
      <c r="D9" s="14" t="s">
        <v>3</v>
      </c>
      <c r="E9" s="1"/>
    </row>
    <row r="10" spans="1:5" x14ac:dyDescent="0.25">
      <c r="A10" s="1"/>
      <c r="B10" s="56" t="s">
        <v>110</v>
      </c>
      <c r="C10" s="22">
        <f>('Fane 3. Omkostninger i ØR2024'!C10+'Fane 3. Omkostninger i ØR2024'!C12+'Fane 3. Omkostninger i ØR2024'!C14)*(1+'Fane 13. Nøgletal'!C10)</f>
        <v>658707.41301998077</v>
      </c>
      <c r="D10" s="14" t="s">
        <v>3</v>
      </c>
      <c r="E10" s="1"/>
    </row>
    <row r="11" spans="1:5" x14ac:dyDescent="0.25">
      <c r="A11" s="1"/>
      <c r="B11" s="56" t="s">
        <v>81</v>
      </c>
      <c r="C11" s="22">
        <f>C9*'Fane 13. Nøgletal'!C23+C10*'Fane 13. Nøgletal'!C23</f>
        <v>158236.64588395064</v>
      </c>
      <c r="D11" s="14" t="s">
        <v>3</v>
      </c>
      <c r="E11" s="1"/>
    </row>
    <row r="12" spans="1:5" x14ac:dyDescent="0.25">
      <c r="A12" s="1"/>
      <c r="B12" s="52"/>
      <c r="C12" s="31"/>
      <c r="D12" s="19"/>
      <c r="E12" s="1"/>
    </row>
    <row r="13" spans="1:5" x14ac:dyDescent="0.25">
      <c r="A13" s="1"/>
      <c r="B13" s="1"/>
      <c r="C13" s="32"/>
      <c r="D13" s="1"/>
      <c r="E13" s="1"/>
    </row>
    <row r="14" spans="1:5" x14ac:dyDescent="0.25">
      <c r="A14" s="1"/>
      <c r="B14" s="99" t="s">
        <v>153</v>
      </c>
      <c r="C14" s="100"/>
      <c r="D14" s="101"/>
      <c r="E14" s="1"/>
    </row>
    <row r="15" spans="1:5" x14ac:dyDescent="0.25">
      <c r="A15" s="1"/>
      <c r="B15" s="56" t="s">
        <v>168</v>
      </c>
      <c r="C15" s="22">
        <f>(C9+C10-C11)*(1+'Fane 13. Nøgletal'!C11)</f>
        <v>8267659.0397967715</v>
      </c>
      <c r="D15" s="14" t="s">
        <v>3</v>
      </c>
      <c r="E15" s="1"/>
    </row>
    <row r="16" spans="1:5" x14ac:dyDescent="0.25">
      <c r="A16" s="1"/>
      <c r="B16" s="56" t="s">
        <v>154</v>
      </c>
      <c r="C16" s="22">
        <f>('Fane 2.1. Økonomisk ramme 2025'!C10+'Fane 2.1. Økonomisk ramme 2025'!C12+'Fane 2.1. Økonomisk ramme 2025'!C14)*(1+'Fane 13. Nøgletal'!C11)</f>
        <v>146804.83578814362</v>
      </c>
      <c r="D16" s="14" t="s">
        <v>3</v>
      </c>
      <c r="E16" s="1"/>
    </row>
    <row r="17" spans="1:5" x14ac:dyDescent="0.25">
      <c r="A17" s="1"/>
      <c r="B17" s="56" t="s">
        <v>155</v>
      </c>
      <c r="C17" s="22">
        <f>(C15+C16)*'Fane 13. Nøgletal'!C23</f>
        <v>168289.27751169831</v>
      </c>
      <c r="D17" s="14" t="s">
        <v>3</v>
      </c>
      <c r="E17" s="1"/>
    </row>
    <row r="18" spans="1:5" x14ac:dyDescent="0.25">
      <c r="A18" s="1"/>
      <c r="B18" s="52"/>
      <c r="C18" s="31"/>
      <c r="D18" s="19"/>
      <c r="E18" s="1"/>
    </row>
    <row r="19" spans="1:5" x14ac:dyDescent="0.25">
      <c r="A19" s="1"/>
      <c r="B19" s="1"/>
      <c r="C19" s="32"/>
      <c r="D19" s="1"/>
      <c r="E19" s="1"/>
    </row>
    <row r="20" spans="1:5" x14ac:dyDescent="0.25">
      <c r="A20" s="1"/>
      <c r="B20" s="99" t="s">
        <v>170</v>
      </c>
      <c r="C20" s="100"/>
      <c r="D20" s="101"/>
      <c r="E20" s="1"/>
    </row>
    <row r="21" spans="1:5" x14ac:dyDescent="0.25">
      <c r="A21" s="1"/>
      <c r="B21" s="56" t="s">
        <v>169</v>
      </c>
      <c r="C21" s="48">
        <f>(C15+C16-C17)*(1+'Fane 13. Nøgletal'!C11)</f>
        <v>8792895.9739254713</v>
      </c>
      <c r="D21" s="14" t="s">
        <v>3</v>
      </c>
      <c r="E21" s="1"/>
    </row>
    <row r="22" spans="1:5" x14ac:dyDescent="0.25">
      <c r="A22" s="1"/>
      <c r="B22" s="56" t="s">
        <v>171</v>
      </c>
      <c r="C22" s="48">
        <f>(C21)*'Fane 13. Nøgletal'!C23</f>
        <v>175857.91947850943</v>
      </c>
      <c r="D22" s="14" t="s">
        <v>3</v>
      </c>
      <c r="E22" s="1"/>
    </row>
    <row r="23" spans="1:5" x14ac:dyDescent="0.25">
      <c r="A23" s="1"/>
      <c r="B23" s="52"/>
      <c r="C23" s="31"/>
      <c r="D23" s="19"/>
      <c r="E23" s="1"/>
    </row>
    <row r="24" spans="1:5" x14ac:dyDescent="0.25">
      <c r="A24" s="1"/>
      <c r="B24" s="1"/>
      <c r="C24" s="32"/>
      <c r="D24" s="1"/>
      <c r="E24" s="1"/>
    </row>
    <row r="25" spans="1:5" x14ac:dyDescent="0.25">
      <c r="A25" s="1"/>
      <c r="B25" s="99" t="s">
        <v>116</v>
      </c>
      <c r="C25" s="100"/>
      <c r="D25" s="101"/>
      <c r="E25" s="1"/>
    </row>
    <row r="26" spans="1:5" x14ac:dyDescent="0.25">
      <c r="A26" s="1"/>
      <c r="B26" s="56" t="s">
        <v>117</v>
      </c>
      <c r="C26" s="48">
        <f>(C21-C22)*(1+'Fane 13. Nøgletal'!C11)</f>
        <v>9188347.6774567962</v>
      </c>
      <c r="D26" s="14" t="s">
        <v>3</v>
      </c>
      <c r="E26" s="1"/>
    </row>
    <row r="27" spans="1:5" x14ac:dyDescent="0.25">
      <c r="A27" s="1"/>
      <c r="B27" s="56" t="s">
        <v>118</v>
      </c>
      <c r="C27" s="48">
        <f>(C26)*'Fane 13. Nøgletal'!C23</f>
        <v>183766.95354913591</v>
      </c>
      <c r="D27" s="14" t="s">
        <v>3</v>
      </c>
      <c r="E27" s="1"/>
    </row>
    <row r="28" spans="1:5" x14ac:dyDescent="0.25">
      <c r="A28" s="1"/>
      <c r="B28" s="52"/>
      <c r="C28" s="42"/>
      <c r="D28" s="19"/>
      <c r="E28" s="1"/>
    </row>
    <row r="29" spans="1:5" x14ac:dyDescent="0.25">
      <c r="A29" s="1"/>
      <c r="B29" s="1"/>
      <c r="C29" s="32"/>
      <c r="D29" s="1"/>
      <c r="E29" s="1"/>
    </row>
    <row r="30" spans="1:5" x14ac:dyDescent="0.25">
      <c r="A30" s="1"/>
      <c r="B30" s="99" t="s">
        <v>136</v>
      </c>
      <c r="C30" s="100"/>
      <c r="D30" s="101"/>
      <c r="E30" s="1"/>
    </row>
    <row r="31" spans="1:5" x14ac:dyDescent="0.25">
      <c r="A31" s="1"/>
      <c r="B31" s="56" t="s">
        <v>137</v>
      </c>
      <c r="C31" s="48">
        <f>(C26-C27)*(1+'Fane 13. Nøgletal'!C11)</f>
        <v>9601584.4259027392</v>
      </c>
      <c r="D31" s="14" t="s">
        <v>3</v>
      </c>
      <c r="E31" s="1"/>
    </row>
    <row r="32" spans="1:5" x14ac:dyDescent="0.25">
      <c r="A32" s="1"/>
      <c r="B32" s="56" t="s">
        <v>138</v>
      </c>
      <c r="C32" s="48">
        <f>(C31)*'Fane 13. Nøgletal'!C23</f>
        <v>192031.68851805478</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i/drDKk4bVql1AbSldvno6kh4ADeSJ680qNpjW/NuY1dp4YF1kBSpVi+eko5KnDJEA9zUuPFUsfIYICVfBRzFw==" saltValue="VAmpSaWgNjfbTStjtwF3a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162</v>
      </c>
      <c r="C9" s="48">
        <v>6948742.1456508087</v>
      </c>
      <c r="D9" s="14" t="s">
        <v>3</v>
      </c>
      <c r="E9" s="1"/>
    </row>
    <row r="10" spans="1:5" x14ac:dyDescent="0.25">
      <c r="A10" s="1"/>
      <c r="B10" s="56" t="s">
        <v>113</v>
      </c>
      <c r="C10" s="48">
        <f>('Fane 3. Omkostninger i ØR2024'!C11+'Fane 3. Omkostninger i ØR2024'!C13+'Fane 3. Omkostninger i ØR2024'!C15)*(1+'Fane 13. Nøgletal'!C10)</f>
        <v>141162.15506220801</v>
      </c>
      <c r="D10" s="14" t="s">
        <v>3</v>
      </c>
      <c r="E10" s="1"/>
    </row>
    <row r="11" spans="1:5" x14ac:dyDescent="0.25">
      <c r="A11" s="1"/>
      <c r="B11" s="56" t="s">
        <v>114</v>
      </c>
      <c r="C11" s="67">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9" t="s">
        <v>156</v>
      </c>
      <c r="C14" s="100"/>
      <c r="D14" s="101"/>
      <c r="E14" s="1"/>
    </row>
    <row r="15" spans="1:5" x14ac:dyDescent="0.25">
      <c r="A15" s="1"/>
      <c r="B15" s="56" t="s">
        <v>163</v>
      </c>
      <c r="C15" s="48">
        <f>(C9+C10-C11)*(1+'Fane 13. Nøgletal'!C11)</f>
        <v>7559964.9558502901</v>
      </c>
      <c r="D15" s="14" t="s">
        <v>3</v>
      </c>
      <c r="E15" s="1"/>
    </row>
    <row r="16" spans="1:5" x14ac:dyDescent="0.25">
      <c r="A16" s="1"/>
      <c r="B16" s="56" t="s">
        <v>157</v>
      </c>
      <c r="C16" s="48">
        <f>('Fane 2.1. Økonomisk ramme 2025'!C11+'Fane 2.1. Økonomisk ramme 2025'!C13+'Fane 2.1. Økonomisk ramme 2025'!C15)*(1+'Fane 13. Nøgletal'!C11)</f>
        <v>29590.915439965698</v>
      </c>
      <c r="D16" s="14" t="s">
        <v>3</v>
      </c>
      <c r="E16" s="1"/>
    </row>
    <row r="17" spans="1:5" x14ac:dyDescent="0.25">
      <c r="A17" s="1"/>
      <c r="B17" s="56" t="s">
        <v>158</v>
      </c>
      <c r="C17" s="67">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9" t="s">
        <v>166</v>
      </c>
      <c r="C20" s="100"/>
      <c r="D20" s="101"/>
      <c r="E20" s="1"/>
    </row>
    <row r="21" spans="1:5" x14ac:dyDescent="0.25">
      <c r="A21" s="1"/>
      <c r="B21" s="56" t="s">
        <v>164</v>
      </c>
      <c r="C21" s="48">
        <f>(C15+C16-C17)*(1+'Fane 13. Nøgletal'!C11)</f>
        <v>8092743.4255568003</v>
      </c>
      <c r="D21" s="14" t="s">
        <v>3</v>
      </c>
      <c r="E21" s="1"/>
    </row>
    <row r="22" spans="1:5" x14ac:dyDescent="0.25">
      <c r="A22" s="1"/>
      <c r="B22" s="56" t="s">
        <v>165</v>
      </c>
      <c r="C22" s="67">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9" t="s">
        <v>119</v>
      </c>
      <c r="C25" s="100"/>
      <c r="D25" s="101"/>
      <c r="E25" s="1"/>
    </row>
    <row r="26" spans="1:5" x14ac:dyDescent="0.25">
      <c r="A26" s="1"/>
      <c r="B26" s="56" t="s">
        <v>120</v>
      </c>
      <c r="C26" s="48">
        <f>(C21-C22)*(1+'Fane 13. Nøgletal'!C11)</f>
        <v>8629292.3146712165</v>
      </c>
      <c r="D26" s="14" t="s">
        <v>3</v>
      </c>
      <c r="E26" s="1"/>
    </row>
    <row r="27" spans="1:5" x14ac:dyDescent="0.25">
      <c r="A27" s="1"/>
      <c r="B27" s="56" t="s">
        <v>121</v>
      </c>
      <c r="C27" s="67">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9" t="s">
        <v>139</v>
      </c>
      <c r="C30" s="100"/>
      <c r="D30" s="101"/>
      <c r="E30" s="1"/>
    </row>
    <row r="31" spans="1:5" x14ac:dyDescent="0.25">
      <c r="A31" s="1"/>
      <c r="B31" s="56" t="s">
        <v>140</v>
      </c>
      <c r="C31" s="48">
        <f>(C26-C27)*(1+'Fane 13. Nøgletal'!C11)</f>
        <v>9201414.3951339182</v>
      </c>
      <c r="D31" s="14" t="s">
        <v>3</v>
      </c>
      <c r="E31" s="1"/>
    </row>
    <row r="32" spans="1:5" x14ac:dyDescent="0.25">
      <c r="A32" s="1"/>
      <c r="B32" s="56" t="s">
        <v>141</v>
      </c>
      <c r="C32" s="67">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1uD/22Rl5qhtbezgBz79aJBCgtD6c1H7uF9YNOM2OKPKZJihTHQTpAiOo7Nwykk4a3FlQ2CqKPho5wa6wIOpQ==" saltValue="uML2VrudOQhj/A8P/uM8u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160</v>
      </c>
      <c r="C9" s="44">
        <v>8.4676903025171502E-3</v>
      </c>
      <c r="D9" s="1"/>
    </row>
    <row r="10" spans="1:4" x14ac:dyDescent="0.25">
      <c r="A10" s="1"/>
      <c r="B10" s="52"/>
      <c r="C10" s="19"/>
      <c r="D10" s="1"/>
    </row>
    <row r="11" spans="1:4" ht="15" customHeight="1" x14ac:dyDescent="0.25">
      <c r="A11" s="1"/>
      <c r="B11" s="104" t="s">
        <v>161</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4Qd9vn2+w2C6WQAh6S3tBe+fKmBwRQbW9cDhty92K/yy5htAkmqovR+4M50wIfAwvv5e4IysPn/KVvQojvG99A==" saltValue="2jZYDw9mWfX2mYSAso8G5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2024-10-08T06:51:30Z</dcterms:modified>
</cp:coreProperties>
</file>