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Spildevand\Ikast-Brande Spildevand AS (S052)\ØR2025\"/>
    </mc:Choice>
  </mc:AlternateContent>
  <xr:revisionPtr revIDLastSave="0" documentId="13_ncr:1_{5BE0455C-0C9E-4A8E-BC89-29739FF9046E}"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2025'!$B$8:$D$39</definedName>
    <definedName name="Fane21total">'Fane 2.1. Økonomisk ramme 2025'!$C$39</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2025'!$B$8:$D$39</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2025'!$C$39</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18" i="41" l="1"/>
  <c r="C23" i="43" l="1"/>
  <c r="C27" i="43" s="1"/>
  <c r="C32" i="2" s="1"/>
  <c r="J17" i="11" l="1"/>
  <c r="H17" i="11"/>
  <c r="F11" i="11"/>
  <c r="F12" i="11"/>
  <c r="F13" i="11"/>
  <c r="F14" i="11"/>
  <c r="F15" i="11"/>
  <c r="F16" i="11"/>
  <c r="C10" i="37" l="1"/>
  <c r="F10" i="11"/>
  <c r="F17" i="11" s="1"/>
  <c r="C11" i="29"/>
  <c r="E10" i="37" l="1"/>
  <c r="C10" i="36" l="1"/>
  <c r="C10" i="30"/>
  <c r="C20" i="23" l="1"/>
  <c r="C22" i="22"/>
  <c r="C22" i="15"/>
  <c r="C36" i="2"/>
  <c r="C11" i="30" l="1"/>
  <c r="C15" i="30" s="1"/>
  <c r="C29" i="20" l="1"/>
  <c r="C28" i="20"/>
  <c r="C23" i="20"/>
  <c r="C22" i="20"/>
  <c r="C24" i="20" l="1"/>
  <c r="C30" i="20"/>
  <c r="C16" i="20" l="1"/>
  <c r="C10" i="20"/>
  <c r="C31" i="43" l="1"/>
  <c r="C33" i="43" l="1"/>
  <c r="C20" i="22" l="1"/>
  <c r="C20" i="15"/>
  <c r="C12" i="29" l="1"/>
  <c r="E11" i="29"/>
  <c r="E12" i="29" s="1"/>
  <c r="E12" i="39"/>
  <c r="E13" i="39" s="1"/>
  <c r="C12" i="39"/>
  <c r="C13" i="39" s="1"/>
  <c r="C20" i="19"/>
  <c r="C21" i="19" s="1"/>
  <c r="C16" i="23" l="1"/>
  <c r="C16" i="15"/>
  <c r="C16" i="22"/>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l="1"/>
  <c r="C11" i="36"/>
  <c r="C15" i="36" s="1"/>
  <c r="C17" i="36" s="1"/>
  <c r="C19" i="2" l="1"/>
  <c r="C9" i="2"/>
  <c r="C16" i="2" s="1"/>
  <c r="C21" i="36" l="1"/>
  <c r="C22" i="36" s="1"/>
  <c r="C17" i="2"/>
  <c r="C20" i="2" l="1"/>
  <c r="C39" i="2" s="1"/>
  <c r="C13" i="15"/>
  <c r="C26" i="36"/>
  <c r="C27" i="36" l="1"/>
  <c r="C13" i="22" s="1"/>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<sst xmlns="http://schemas.openxmlformats.org/spreadsheetml/2006/main" count="584" uniqueCount="247">
  <si>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</si>
  <si>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</si>
  <si>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</si>
  <si>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</si>
  <si>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</si>
  <si>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</si>
  <si>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</si>
  <si>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</si>
  <si>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</si>
  <si>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</si>
  <si>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</si>
  <si>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</si>
  <si>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</si>
  <si>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</si>
  <si>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</si>
  <si>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</si>
  <si>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</si>
  <si>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</si>
  <si>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</si>
  <si>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</si>
  <si>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</si>
  <si>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</si>
  <si>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</si>
  <si>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</si>
  <si>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</si>
  <si>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</si>
  <si>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</si>
  <si>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</si>
  <si>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</si>
  <si>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</si>
  <si>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</si>
  <si>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</si>
  <si>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</si>
  <si>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</si>
  <si>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</si>
  <si>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</si>
  <si>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</si>
  <si>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</si>
  <si>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</si>
  <si>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</si>
  <si>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</si>
  <si>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</si>
  <si>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</si>
  <si>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</si>
  <si>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</si>
  <si>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</si>
  <si>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</si>
  <si>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</si>
  <si>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</si>
  <si>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</si>
  <si>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</si>
  <si>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</si>
  <si>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</si>
  <si>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</si>
  <si>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</si>
  <si>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</si>
  <si>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</si>
  <si>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</si>
  <si>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</si>
  <si>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</si>
  <si>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</si>
  <si>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</si>
  <si>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</si>
  <si>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</si>
  <si>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</si>
  <si>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</si>
  <si>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</si>
  <si>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</si>
  <si>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</si>
  <si>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</si>
  <si>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</si>
  <si>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</si>
  <si>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</si>
  <si>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</si>
  <si>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</si>
  <si>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</si>
  <si>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</si>
  <si>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</si>
  <si>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</si>
  <si>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</si>
  <si>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</si>
  <si>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</si>
  <si>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</si>
  <si>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</si>
  <si>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</si>
  <si>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</si>
  <si>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</si>
  <si>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</si>
  <si>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</si>
  <si>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</si>
  <si>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</si>
  <si>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</si>
  <si>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</si>
  <si>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</si>
  <si>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</si>
  <si>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</si>
  <si>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</si>
  <si>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</si>
  <si>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</si>
  <si>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</si>
  <si>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</si>
  <si>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</si>
  <si>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</si>
  <si>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</si>
  <si>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</si>
  <si>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</si>
  <si>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</si>
  <si>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</si>
  <si>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</si>
  <si>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</si>
  <si>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</si>
  <si>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</si>
  <si>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</si>
  <si>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</si>
  <si>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</si>
  <si>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</si>
  <si>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</si>
  <si>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</si>
  <si>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</si>
  <si>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</si>
  <si>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</si>
  <si>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</si>
  <si>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</si>
  <si>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</si>
  <si>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</si>
  <si>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</si>
  <si>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</si>
  <si>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</si>
  <si>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</si>
  <si>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</si>
  <si>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</si>
  <si>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</si>
  <si>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</si>
  <si>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</si>
  <si>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</si>
  <si>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</si>
  <si>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</si>
  <si>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</si>
  <si>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</si>
  <si>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</si>
  <si>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</si>
  <si>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</si>
  <si>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</si>
  <si>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</si>
  <si>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</si>
  <si>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</si>
  <si>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</si>
  <si>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</si>
  <si>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</si>
  <si>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</si>
  <si>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</si>
  <si>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</si>
  <si>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</si>
  <si>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</si>
  <si>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</si>
  <si>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</si>
  <si>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</si>
  <si>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</si>
  <si>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</si>
  <si>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</si>
  <si>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</si>
  <si>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</si>
  <si>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</si>
  <si>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</si>
  <si>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</si>
  <si>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</si>
  <si>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</si>
  <si>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</si>
  <si>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</si>
  <si>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</si>
  <si>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</si>
  <si>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</si>
  <si>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</si>
  <si>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</si>
  <si>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</si>
  <si>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</si>
  <si>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</si>
  <si>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</si>
  <si>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</si>
  <si>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</si>
  <si>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</si>
  <si>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</si>
  <si>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</si>
  <si>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</si>
  <si>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</si>
  <si>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</si>
  <si>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</si>
  <si>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</si>
  <si>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</si>
  <si>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</si>
  <si>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</si>
  <si>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</si>
  <si>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</si>
  <si>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</si>
  <si>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</si>
  <si>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</si>
  <si>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</si>
  <si>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</si>
  <si>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</si>
  <si>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</si>
  <si>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</si>
  <si>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</si>
  <si>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</si>
  <si>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</si>
  <si>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</si>
  <si>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</si>
  <si>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</si>
  <si>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</si>
  <si>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</si>
  <si>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</si>
  <si>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</si>
  <si>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</si>
  <si>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</si>
  <si>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</si>
  <si>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</si>
  <si>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</si>
  <si>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</si>
  <si>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</si>
  <si>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</si>
  <si>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</si>
  <si>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</si>
  <si>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Brønde</t>
  </si>
  <si>
    <t>Ledningsnet ≤ Ø 200 mm</t>
  </si>
  <si>
    <t>Strømpeforing ≤ Ø 200 mm</t>
  </si>
  <si>
    <t>Strømpeforing Ø 800 mm &lt; Ledningsnet ≤ Ø 1000 mm</t>
  </si>
  <si>
    <t>Ø 200 mm &lt; Ledningsnet ≤ Ø 500 mm</t>
  </si>
  <si>
    <t>Ø 500 mm &lt; Ledningsnet ≤ Ø 800 mm</t>
  </si>
  <si>
    <t>Ø 800 mm &lt; Ledningsnet ≤ Ø 1000 mm</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</si>
  <si>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</si>
  <si>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</si>
  <si>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</si>
  <si>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</si>
  <si>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Spildevandsafgift</t>
  </si>
  <si>
    <t>Afgift til Forsyningssekretariatet</t>
  </si>
  <si>
    <t>Køb af ydelser og produkter fra andre vandselskaber reguleret af vandsektorloven</t>
  </si>
  <si>
    <t>Ejendomsskatter</t>
  </si>
  <si>
    <t>Gebyr til Miljøstyrelsen</t>
  </si>
  <si>
    <t>Øvrige afgifter</t>
  </si>
  <si>
    <t>Fradrag i den økonomiske ramme for 2029</t>
  </si>
  <si>
    <t>Separatkloakeringer 2023</t>
  </si>
  <si>
    <t>Strømpeforinger</t>
  </si>
  <si>
    <t>Byggemodninger 2023</t>
  </si>
  <si>
    <t>Kapacitetsudvidelse Brande Renseanlæg</t>
  </si>
  <si>
    <t>Fornyelsesplan</t>
  </si>
  <si>
    <t>Forsyningssikkerhed</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</si>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</sst>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3" fontId="8" fillId="8" borderId="3" xfId="0" applyNumberFormat="1" applyFont="1" applyFill="1" applyBorder="1" applyProtection="1"/>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650816"/>
      <color rgb="FFF2DCDB"/>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5" t="s">
        <v>4</v>
      </c>
      <c r="D6" s="95"/>
      <c r="E6" s="95"/>
      <c r="F6" s="95"/>
      <c r="G6" s="3"/>
    </row>
    <row r="7" spans="1:7" ht="15" customHeight="1" x14ac:dyDescent="0.25">
      <c r="A7" s="1"/>
      <c r="B7" s="3"/>
      <c r="C7" s="95"/>
      <c r="D7" s="95"/>
      <c r="E7" s="95"/>
      <c r="F7" s="95"/>
      <c r="G7" s="3"/>
    </row>
    <row r="8" spans="1:7" ht="15.75" x14ac:dyDescent="0.25">
      <c r="A8" s="1"/>
      <c r="B8" s="4"/>
      <c r="C8" s="100" t="s">
        <v>231</v>
      </c>
      <c r="D8" s="100"/>
      <c r="E8" s="100"/>
      <c r="F8" s="100"/>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9" t="s">
        <v>5</v>
      </c>
      <c r="D11" s="99"/>
      <c r="E11" s="99"/>
      <c r="F11" s="99"/>
      <c r="G11" s="5"/>
    </row>
    <row r="12" spans="1:7" x14ac:dyDescent="0.25">
      <c r="A12" s="1"/>
      <c r="B12" s="1"/>
      <c r="C12" s="1"/>
      <c r="D12" s="1"/>
      <c r="E12" s="1"/>
      <c r="F12" s="1"/>
      <c r="G12" s="5"/>
    </row>
    <row r="13" spans="1:7" x14ac:dyDescent="0.25">
      <c r="A13" s="1"/>
      <c r="B13" s="6" t="s">
        <v>6</v>
      </c>
      <c r="C13" s="101" t="s">
        <v>126</v>
      </c>
      <c r="D13" s="102"/>
      <c r="E13" s="102"/>
      <c r="F13" s="103"/>
      <c r="G13" s="5"/>
    </row>
    <row r="14" spans="1:7" x14ac:dyDescent="0.25">
      <c r="A14" s="1"/>
      <c r="B14" s="6" t="s">
        <v>16</v>
      </c>
      <c r="C14" s="92" t="s">
        <v>185</v>
      </c>
      <c r="D14" s="93"/>
      <c r="E14" s="93"/>
      <c r="F14" s="94"/>
      <c r="G14" s="5"/>
    </row>
    <row r="15" spans="1:7" x14ac:dyDescent="0.25">
      <c r="A15" s="1"/>
      <c r="B15" s="6" t="s">
        <v>30</v>
      </c>
      <c r="C15" s="92" t="s">
        <v>148</v>
      </c>
      <c r="D15" s="93"/>
      <c r="E15" s="93"/>
      <c r="F15" s="94"/>
      <c r="G15" s="5"/>
    </row>
    <row r="16" spans="1:7" x14ac:dyDescent="0.25">
      <c r="A16" s="1"/>
      <c r="B16" s="6" t="s">
        <v>31</v>
      </c>
      <c r="C16" s="92" t="s">
        <v>150</v>
      </c>
      <c r="D16" s="93"/>
      <c r="E16" s="93"/>
      <c r="F16" s="94"/>
      <c r="G16" s="5"/>
    </row>
    <row r="17" spans="1:8" x14ac:dyDescent="0.25">
      <c r="A17" s="1"/>
      <c r="B17" s="6" t="s">
        <v>61</v>
      </c>
      <c r="C17" s="92" t="s">
        <v>151</v>
      </c>
      <c r="D17" s="93"/>
      <c r="E17" s="93"/>
      <c r="F17" s="94"/>
      <c r="G17" s="5"/>
    </row>
    <row r="18" spans="1:8" x14ac:dyDescent="0.25">
      <c r="A18" s="1"/>
      <c r="B18" s="6" t="s">
        <v>53</v>
      </c>
      <c r="C18" s="89" t="s">
        <v>45</v>
      </c>
      <c r="D18" s="90"/>
      <c r="E18" s="90"/>
      <c r="F18" s="91"/>
      <c r="G18" s="5"/>
    </row>
    <row r="19" spans="1:8" x14ac:dyDescent="0.25">
      <c r="A19" s="1"/>
      <c r="B19" s="6" t="s">
        <v>54</v>
      </c>
      <c r="C19" s="89" t="s">
        <v>46</v>
      </c>
      <c r="D19" s="90"/>
      <c r="E19" s="90"/>
      <c r="F19" s="91"/>
      <c r="G19" s="5"/>
    </row>
    <row r="20" spans="1:8" x14ac:dyDescent="0.25">
      <c r="A20" s="1"/>
      <c r="B20" s="6" t="s">
        <v>7</v>
      </c>
      <c r="C20" s="89" t="s">
        <v>10</v>
      </c>
      <c r="D20" s="90"/>
      <c r="E20" s="90"/>
      <c r="F20" s="91"/>
      <c r="G20" s="5"/>
    </row>
    <row r="21" spans="1:8" x14ac:dyDescent="0.25">
      <c r="A21" s="1"/>
      <c r="B21" s="6" t="s">
        <v>55</v>
      </c>
      <c r="C21" s="96" t="s">
        <v>12</v>
      </c>
      <c r="D21" s="97"/>
      <c r="E21" s="97"/>
      <c r="F21" s="98"/>
      <c r="G21" s="5"/>
    </row>
    <row r="22" spans="1:8" x14ac:dyDescent="0.25">
      <c r="A22" s="1"/>
      <c r="B22" s="6" t="s">
        <v>39</v>
      </c>
      <c r="C22" s="83" t="s">
        <v>152</v>
      </c>
      <c r="D22" s="84"/>
      <c r="E22" s="84"/>
      <c r="F22" s="85"/>
      <c r="G22" s="5"/>
    </row>
    <row r="23" spans="1:8" x14ac:dyDescent="0.25">
      <c r="A23" s="1"/>
      <c r="B23" s="6" t="s">
        <v>8</v>
      </c>
      <c r="C23" s="83" t="s">
        <v>111</v>
      </c>
      <c r="D23" s="84"/>
      <c r="E23" s="84"/>
      <c r="F23" s="85"/>
      <c r="G23" s="5"/>
    </row>
    <row r="24" spans="1:8" x14ac:dyDescent="0.25">
      <c r="A24" s="1"/>
      <c r="B24" s="6" t="s">
        <v>9</v>
      </c>
      <c r="C24" s="83" t="s">
        <v>153</v>
      </c>
      <c r="D24" s="84"/>
      <c r="E24" s="84"/>
      <c r="F24" s="85"/>
      <c r="G24" s="5"/>
    </row>
    <row r="25" spans="1:8" x14ac:dyDescent="0.25">
      <c r="A25" s="1"/>
      <c r="B25" s="6" t="s">
        <v>97</v>
      </c>
      <c r="C25" s="83" t="s">
        <v>91</v>
      </c>
      <c r="D25" s="84"/>
      <c r="E25" s="84"/>
      <c r="F25" s="85"/>
      <c r="G25" s="1"/>
    </row>
    <row r="26" spans="1:8" x14ac:dyDescent="0.25">
      <c r="A26" s="1"/>
      <c r="B26" s="6" t="s">
        <v>98</v>
      </c>
      <c r="C26" s="83" t="s">
        <v>40</v>
      </c>
      <c r="D26" s="84"/>
      <c r="E26" s="84"/>
      <c r="F26" s="85"/>
      <c r="G26" s="1"/>
    </row>
    <row r="27" spans="1:8" x14ac:dyDescent="0.25">
      <c r="A27" s="1"/>
      <c r="B27" s="6" t="s">
        <v>99</v>
      </c>
      <c r="C27" s="83" t="s">
        <v>41</v>
      </c>
      <c r="D27" s="84"/>
      <c r="E27" s="84"/>
      <c r="F27" s="85"/>
      <c r="G27" s="1"/>
    </row>
    <row r="28" spans="1:8" x14ac:dyDescent="0.25">
      <c r="A28" s="1"/>
      <c r="B28" s="6" t="s">
        <v>15</v>
      </c>
      <c r="C28" s="83" t="s">
        <v>42</v>
      </c>
      <c r="D28" s="84"/>
      <c r="E28" s="84"/>
      <c r="F28" s="85"/>
      <c r="G28" s="1"/>
      <c r="H28" s="2" t="s">
        <v>149</v>
      </c>
    </row>
    <row r="29" spans="1:8" x14ac:dyDescent="0.25">
      <c r="A29" s="1"/>
      <c r="B29" s="6" t="s">
        <v>33</v>
      </c>
      <c r="C29" s="83" t="s">
        <v>68</v>
      </c>
      <c r="D29" s="84"/>
      <c r="E29" s="84"/>
      <c r="F29" s="85"/>
      <c r="G29" s="1"/>
    </row>
    <row r="30" spans="1:8" x14ac:dyDescent="0.25">
      <c r="A30" s="1"/>
      <c r="B30" s="6" t="s">
        <v>34</v>
      </c>
      <c r="C30" s="83" t="s">
        <v>32</v>
      </c>
      <c r="D30" s="84"/>
      <c r="E30" s="84"/>
      <c r="F30" s="85"/>
      <c r="G30" s="1"/>
    </row>
    <row r="31" spans="1:8" x14ac:dyDescent="0.25">
      <c r="A31" s="1"/>
      <c r="B31" s="6" t="s">
        <v>100</v>
      </c>
      <c r="C31" s="86" t="s">
        <v>52</v>
      </c>
      <c r="D31" s="87"/>
      <c r="E31" s="87"/>
      <c r="F31" s="88"/>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tjmA6fJEX6EMnvcmBgWxYsTf/QlacQ2Ui8IhXdXPC2Ar9cMg8Ba3yBqJYYd/REiiLK7OLDl1JfIsJwpNJ8gUbQ==" saltValue="Ce5zRNN5jYdt42MKfwcD0Q=="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164</v>
      </c>
      <c r="C8" s="109"/>
      <c r="D8" s="110"/>
      <c r="E8" s="1"/>
    </row>
    <row r="9" spans="1:5" ht="15" customHeight="1" x14ac:dyDescent="0.25">
      <c r="A9" s="1"/>
      <c r="B9" s="27" t="s">
        <v>28</v>
      </c>
      <c r="C9" s="67" t="s">
        <v>165</v>
      </c>
      <c r="D9" s="11"/>
      <c r="E9" s="1"/>
    </row>
    <row r="10" spans="1:5" ht="15" customHeight="1" x14ac:dyDescent="0.25">
      <c r="A10" s="1"/>
      <c r="B10" s="72" t="s">
        <v>232</v>
      </c>
      <c r="C10" s="73">
        <v>1306473</v>
      </c>
      <c r="D10" s="14" t="s">
        <v>3</v>
      </c>
      <c r="E10" s="1"/>
    </row>
    <row r="11" spans="1:5" ht="15" customHeight="1" x14ac:dyDescent="0.25">
      <c r="A11" s="1"/>
      <c r="B11" s="72" t="s">
        <v>233</v>
      </c>
      <c r="C11" s="73">
        <v>77519</v>
      </c>
      <c r="D11" s="14" t="s">
        <v>3</v>
      </c>
      <c r="E11" s="1"/>
    </row>
    <row r="12" spans="1:5" ht="25.5" x14ac:dyDescent="0.25">
      <c r="A12" s="1"/>
      <c r="B12" s="72" t="s">
        <v>234</v>
      </c>
      <c r="C12" s="73">
        <v>319755</v>
      </c>
      <c r="D12" s="14" t="s">
        <v>3</v>
      </c>
      <c r="E12" s="1"/>
    </row>
    <row r="13" spans="1:5" x14ac:dyDescent="0.25">
      <c r="A13" s="1"/>
      <c r="B13" s="72" t="s">
        <v>235</v>
      </c>
      <c r="C13" s="73">
        <v>99721</v>
      </c>
      <c r="D13" s="14" t="s">
        <v>3</v>
      </c>
      <c r="E13" s="1"/>
    </row>
    <row r="14" spans="1:5" x14ac:dyDescent="0.25">
      <c r="A14" s="1"/>
      <c r="B14" s="72" t="s">
        <v>236</v>
      </c>
      <c r="C14" s="73">
        <v>15435</v>
      </c>
      <c r="D14" s="14" t="s">
        <v>3</v>
      </c>
      <c r="E14" s="1"/>
    </row>
    <row r="15" spans="1:5" x14ac:dyDescent="0.25">
      <c r="A15" s="1"/>
      <c r="B15" s="72" t="s">
        <v>237</v>
      </c>
      <c r="C15" s="73">
        <v>12808.51</v>
      </c>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166</v>
      </c>
      <c r="C20" s="12">
        <f>SUM(C10:C19)</f>
        <v>1831711.51</v>
      </c>
      <c r="D20" s="13" t="s">
        <v>3</v>
      </c>
      <c r="E20" s="1"/>
    </row>
    <row r="21" spans="1:5" x14ac:dyDescent="0.25">
      <c r="A21" s="1"/>
      <c r="B21" s="33" t="s">
        <v>167</v>
      </c>
      <c r="C21" s="12">
        <f>C20*(1+'Fane 15. Nøgletal'!C10)^2</f>
        <v>2082648.0921933919</v>
      </c>
      <c r="D21" s="13" t="s">
        <v>3</v>
      </c>
      <c r="E21" s="1"/>
    </row>
    <row r="22" spans="1:5" x14ac:dyDescent="0.25">
      <c r="A22" s="1"/>
      <c r="B22" s="16"/>
      <c r="C22" s="15"/>
      <c r="D22" s="15"/>
      <c r="E22" s="1"/>
    </row>
    <row r="23" spans="1:5" x14ac:dyDescent="0.25">
      <c r="A23" s="1"/>
      <c r="B23" s="16"/>
      <c r="C23" s="15"/>
      <c r="D23" s="15"/>
      <c r="E23" s="1"/>
    </row>
    <row r="24" spans="1:5" x14ac:dyDescent="0.25">
      <c r="A24" s="1"/>
      <c r="B24" s="108" t="s">
        <v>60</v>
      </c>
      <c r="C24" s="109"/>
      <c r="D24" s="110"/>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147</v>
      </c>
      <c r="C27" s="9">
        <v>0</v>
      </c>
      <c r="D27" s="14" t="s">
        <v>3</v>
      </c>
      <c r="E27" s="1"/>
    </row>
    <row r="28" spans="1:5" x14ac:dyDescent="0.25">
      <c r="A28" s="1"/>
      <c r="B28" s="34" t="s">
        <v>168</v>
      </c>
      <c r="C28" s="9">
        <v>0</v>
      </c>
      <c r="D28" s="36" t="s">
        <v>3</v>
      </c>
      <c r="E28" s="1"/>
    </row>
    <row r="29" spans="1:5" x14ac:dyDescent="0.25">
      <c r="A29" s="1"/>
      <c r="B29" s="108"/>
      <c r="C29" s="109"/>
      <c r="D29" s="110"/>
      <c r="E29" s="1"/>
    </row>
    <row r="30" spans="1:5" x14ac:dyDescent="0.25">
      <c r="A30" s="1"/>
      <c r="B30" s="1"/>
      <c r="C30" s="1"/>
      <c r="D30" s="1"/>
      <c r="E30" s="1"/>
    </row>
    <row r="31" spans="1:5" x14ac:dyDescent="0.25">
      <c r="A31" s="1"/>
      <c r="B31" s="1"/>
      <c r="C31" s="1"/>
      <c r="D31" s="1"/>
      <c r="E31" s="1"/>
    </row>
    <row r="32" spans="1:5" x14ac:dyDescent="0.25">
      <c r="A32" s="1"/>
      <c r="B32" s="108" t="s">
        <v>47</v>
      </c>
      <c r="C32" s="109"/>
      <c r="D32" s="110"/>
      <c r="E32" s="1"/>
    </row>
    <row r="33" spans="1:5" x14ac:dyDescent="0.25">
      <c r="A33" s="1"/>
      <c r="B33" s="37" t="s">
        <v>72</v>
      </c>
      <c r="C33" s="9">
        <v>449364</v>
      </c>
      <c r="D33" s="14" t="s">
        <v>3</v>
      </c>
      <c r="E33" s="1"/>
    </row>
    <row r="34" spans="1:5" x14ac:dyDescent="0.25">
      <c r="A34" s="1"/>
      <c r="B34" s="37" t="s">
        <v>83</v>
      </c>
      <c r="C34" s="9">
        <v>449363</v>
      </c>
      <c r="D34" s="14" t="s">
        <v>3</v>
      </c>
      <c r="E34" s="1"/>
    </row>
    <row r="35" spans="1:5" x14ac:dyDescent="0.25">
      <c r="A35" s="1"/>
      <c r="B35" s="37" t="s">
        <v>147</v>
      </c>
      <c r="C35" s="9">
        <v>449363</v>
      </c>
      <c r="D35" s="14" t="s">
        <v>3</v>
      </c>
      <c r="E35" s="1"/>
    </row>
    <row r="36" spans="1:5" x14ac:dyDescent="0.25">
      <c r="A36" s="1"/>
      <c r="B36" s="34" t="s">
        <v>168</v>
      </c>
      <c r="C36" s="9">
        <v>0</v>
      </c>
      <c r="D36" s="36" t="s">
        <v>3</v>
      </c>
      <c r="E36" s="1"/>
    </row>
    <row r="37" spans="1:5" x14ac:dyDescent="0.25">
      <c r="A37" s="1"/>
      <c r="B37" s="108"/>
      <c r="C37" s="109"/>
      <c r="D37" s="110"/>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bk6sXaiognJMA5OaNds8bRT3ENJFd89mEaA5w87pBb+Cap8ylBDlebRXgR9UKKb79UBlQMz1LJwBkDuEAtB8Lw==" saltValue="dydwp7CWXy+jTldtahLqq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200</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5"/>
      <c r="C6" s="75"/>
      <c r="D6" s="75"/>
      <c r="E6" s="1"/>
    </row>
    <row r="7" spans="1:5" x14ac:dyDescent="0.25">
      <c r="A7" s="1"/>
      <c r="B7" s="1"/>
      <c r="C7" s="1"/>
      <c r="D7" s="1"/>
      <c r="E7" s="1"/>
    </row>
    <row r="8" spans="1:5" x14ac:dyDescent="0.25">
      <c r="A8" s="1"/>
      <c r="B8" s="108" t="s">
        <v>77</v>
      </c>
      <c r="C8" s="109"/>
      <c r="D8" s="110"/>
      <c r="E8" s="1"/>
    </row>
    <row r="9" spans="1:5" x14ac:dyDescent="0.25">
      <c r="A9" s="1"/>
      <c r="B9" s="65" t="s">
        <v>203</v>
      </c>
      <c r="C9" s="9">
        <v>-5741318.0751530528</v>
      </c>
      <c r="D9" s="14" t="s">
        <v>3</v>
      </c>
      <c r="E9" s="1"/>
    </row>
    <row r="10" spans="1:5" x14ac:dyDescent="0.25">
      <c r="A10" s="1"/>
      <c r="B10" s="33"/>
      <c r="C10" s="28"/>
      <c r="D10" s="19"/>
      <c r="E10" s="1"/>
    </row>
    <row r="11" spans="1:5" ht="53.25" customHeight="1" x14ac:dyDescent="0.25">
      <c r="A11" s="1"/>
      <c r="B11" s="119" t="s">
        <v>211</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5" t="s">
        <v>201</v>
      </c>
      <c r="C14" s="9">
        <v>-3332080.5</v>
      </c>
      <c r="D14" s="14" t="s">
        <v>3</v>
      </c>
      <c r="E14" s="1"/>
    </row>
    <row r="15" spans="1:5" x14ac:dyDescent="0.25">
      <c r="A15" s="1"/>
      <c r="B15" s="65" t="s">
        <v>202</v>
      </c>
      <c r="C15" s="9">
        <v>-3332080.5</v>
      </c>
      <c r="D15" s="14" t="s">
        <v>3</v>
      </c>
      <c r="E15" s="1"/>
    </row>
    <row r="16" spans="1:5" x14ac:dyDescent="0.25">
      <c r="A16" s="1"/>
      <c r="B16" s="33"/>
      <c r="C16" s="28"/>
      <c r="D16" s="19"/>
      <c r="E16" s="1"/>
    </row>
    <row r="17" spans="1:5" ht="29.25" customHeight="1" x14ac:dyDescent="0.25">
      <c r="A17" s="1"/>
      <c r="B17" s="119" t="s">
        <v>120</v>
      </c>
      <c r="C17" s="120"/>
      <c r="D17" s="121"/>
      <c r="E17" s="1"/>
    </row>
    <row r="18" spans="1:5" x14ac:dyDescent="0.25">
      <c r="A18" s="1"/>
      <c r="B18" s="1"/>
      <c r="C18" s="1"/>
      <c r="D18" s="1"/>
      <c r="E18" s="1"/>
    </row>
    <row r="19" spans="1:5" x14ac:dyDescent="0.25">
      <c r="A19" s="1"/>
      <c r="B19" s="76" t="s">
        <v>204</v>
      </c>
      <c r="C19" s="77"/>
      <c r="D19" s="78"/>
      <c r="E19" s="1"/>
    </row>
    <row r="20" spans="1:5" x14ac:dyDescent="0.25">
      <c r="A20" s="1"/>
      <c r="B20" s="65" t="s">
        <v>205</v>
      </c>
      <c r="C20" s="9">
        <v>67640764.613527238</v>
      </c>
      <c r="D20" s="14" t="s">
        <v>3</v>
      </c>
      <c r="E20" s="1"/>
    </row>
    <row r="21" spans="1:5" x14ac:dyDescent="0.25">
      <c r="A21" s="1"/>
      <c r="B21" s="65" t="s">
        <v>206</v>
      </c>
      <c r="C21" s="9">
        <v>76006623</v>
      </c>
      <c r="D21" s="14" t="s">
        <v>3</v>
      </c>
      <c r="E21" s="1"/>
    </row>
    <row r="22" spans="1:5" x14ac:dyDescent="0.25">
      <c r="A22" s="1"/>
      <c r="B22" s="65" t="s">
        <v>29</v>
      </c>
      <c r="C22" s="9">
        <v>-127830</v>
      </c>
      <c r="D22" s="14" t="s">
        <v>3</v>
      </c>
      <c r="E22" s="1"/>
    </row>
    <row r="23" spans="1:5" x14ac:dyDescent="0.25">
      <c r="A23" s="1"/>
      <c r="B23" s="82" t="s">
        <v>207</v>
      </c>
      <c r="C23" s="57">
        <f>C20-C21-C22</f>
        <v>-8238028.3864727616</v>
      </c>
      <c r="D23" s="17" t="s">
        <v>3</v>
      </c>
      <c r="E23" s="1"/>
    </row>
    <row r="24" spans="1:5" x14ac:dyDescent="0.25">
      <c r="A24" s="1"/>
      <c r="B24" s="33"/>
      <c r="C24" s="28"/>
      <c r="D24" s="19"/>
      <c r="E24" s="1"/>
    </row>
    <row r="25" spans="1:5" x14ac:dyDescent="0.25">
      <c r="A25" s="1"/>
      <c r="B25" s="1"/>
      <c r="C25" s="1"/>
      <c r="D25" s="1"/>
      <c r="E25" s="1"/>
    </row>
    <row r="26" spans="1:5" x14ac:dyDescent="0.25">
      <c r="A26" s="1"/>
      <c r="B26" s="108" t="s">
        <v>208</v>
      </c>
      <c r="C26" s="109"/>
      <c r="D26" s="110"/>
      <c r="E26" s="1"/>
    </row>
    <row r="27" spans="1:5" x14ac:dyDescent="0.25">
      <c r="A27" s="1"/>
      <c r="B27" s="82" t="s">
        <v>209</v>
      </c>
      <c r="C27" s="57">
        <f>IF(AND(C15&lt;0,C23&gt;0,ABS(SUM(C14:C15))&lt;C23),ABS(C14),IF(AND(C15&lt;0,C23&gt;0,ABS(SUM(C14:C15))&gt;C23),SUM(C14,C23),C15))</f>
        <v>-3332080.5</v>
      </c>
      <c r="D27" s="17" t="s">
        <v>3</v>
      </c>
      <c r="E27" s="1"/>
    </row>
    <row r="28" spans="1:5" x14ac:dyDescent="0.25">
      <c r="A28" s="1"/>
      <c r="B28" s="108"/>
      <c r="C28" s="109"/>
      <c r="D28" s="110"/>
      <c r="E28" s="1"/>
    </row>
    <row r="29" spans="1:5" x14ac:dyDescent="0.25">
      <c r="A29" s="1"/>
      <c r="B29" s="1"/>
      <c r="C29" s="1"/>
      <c r="D29" s="1"/>
      <c r="E29" s="1"/>
    </row>
    <row r="30" spans="1:5" x14ac:dyDescent="0.25">
      <c r="A30" s="1"/>
      <c r="B30" s="108" t="s">
        <v>210</v>
      </c>
      <c r="C30" s="109"/>
      <c r="D30" s="110"/>
      <c r="E30" s="1"/>
    </row>
    <row r="31" spans="1:5" x14ac:dyDescent="0.25">
      <c r="A31" s="1"/>
      <c r="B31" s="66" t="s">
        <v>69</v>
      </c>
      <c r="C31" s="58">
        <f>IF(AND(C9&gt;0,(C9+C23)&gt;0),0,IF(AND(C9&gt;0,(C9+C23)&lt;0),(C9+C23),IF(AND(C9&lt;0,C23&lt;0),C23,0)))</f>
        <v>-8238028.3864727616</v>
      </c>
      <c r="D31" s="14" t="s">
        <v>3</v>
      </c>
      <c r="E31" s="1"/>
    </row>
    <row r="32" spans="1:5" x14ac:dyDescent="0.25">
      <c r="A32" s="1"/>
      <c r="B32" s="66" t="s">
        <v>49</v>
      </c>
      <c r="C32" s="9">
        <v>2</v>
      </c>
      <c r="D32" s="14" t="s">
        <v>20</v>
      </c>
      <c r="E32" s="1"/>
    </row>
    <row r="33" spans="1:5" x14ac:dyDescent="0.25">
      <c r="A33" s="1"/>
      <c r="B33" s="67" t="s">
        <v>70</v>
      </c>
      <c r="C33" s="57">
        <f>C31/C32</f>
        <v>-4119014.1932363808</v>
      </c>
      <c r="D33" s="17"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2W+26vEjdF0E+m1CPCe/oyLL8mfFbgd1pTKIQRdZzUYJFZZC70F59uxHd3ih2ULzwCn0tGHLZEGVvIKNLysUfQ==" saltValue="gGxW0rOZ78Npt8DJlt1PA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50"/>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6" t="s">
        <v>101</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x14ac:dyDescent="0.25">
      <c r="A8" s="1"/>
      <c r="B8" s="108" t="s">
        <v>119</v>
      </c>
      <c r="C8" s="109"/>
      <c r="D8" s="110"/>
      <c r="E8" s="1"/>
    </row>
    <row r="9" spans="1:5" ht="15" customHeight="1" x14ac:dyDescent="0.25">
      <c r="A9" s="1"/>
      <c r="B9" s="122" t="s">
        <v>102</v>
      </c>
      <c r="C9" s="123"/>
      <c r="D9" s="124"/>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v>-1662069</v>
      </c>
      <c r="D12" s="9" t="s">
        <v>3</v>
      </c>
      <c r="E12" s="1"/>
    </row>
    <row r="13" spans="1:5" x14ac:dyDescent="0.25">
      <c r="A13" s="1"/>
      <c r="B13" s="68" t="s">
        <v>106</v>
      </c>
      <c r="C13" s="9">
        <v>-1662069</v>
      </c>
      <c r="D13" s="9" t="s">
        <v>3</v>
      </c>
      <c r="E13" s="1"/>
    </row>
    <row r="14" spans="1:5" x14ac:dyDescent="0.25">
      <c r="A14" s="1"/>
      <c r="B14" s="68" t="s">
        <v>107</v>
      </c>
      <c r="C14" s="9">
        <v>-1662069</v>
      </c>
      <c r="D14" s="9" t="s">
        <v>3</v>
      </c>
      <c r="E14" s="1"/>
    </row>
    <row r="15" spans="1:5" x14ac:dyDescent="0.25">
      <c r="A15" s="1"/>
      <c r="B15" s="68" t="s">
        <v>108</v>
      </c>
      <c r="C15" s="9">
        <v>-1662069</v>
      </c>
      <c r="D15" s="9" t="s">
        <v>3</v>
      </c>
      <c r="E15" s="1"/>
    </row>
    <row r="16" spans="1:5" x14ac:dyDescent="0.25">
      <c r="A16" s="1"/>
      <c r="B16" s="68" t="s">
        <v>109</v>
      </c>
      <c r="C16" s="9">
        <v>-1662069</v>
      </c>
      <c r="D16" s="9" t="s">
        <v>3</v>
      </c>
      <c r="E16" s="1"/>
    </row>
    <row r="17" spans="1:5" x14ac:dyDescent="0.25">
      <c r="A17" s="1"/>
      <c r="B17" s="68" t="s">
        <v>238</v>
      </c>
      <c r="C17" s="9">
        <v>-1662069</v>
      </c>
      <c r="D17" s="9" t="s">
        <v>3</v>
      </c>
      <c r="E17" s="1"/>
    </row>
    <row r="18" spans="1:5" x14ac:dyDescent="0.25">
      <c r="A18" s="1"/>
      <c r="B18" s="76" t="s">
        <v>110</v>
      </c>
      <c r="C18" s="12">
        <f>SUM(C10:C17)</f>
        <v>-9972414</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sheetData>
  <sheetProtection algorithmName="SHA-512" hashValue="fLIKl/xrqtfzBNg9xSnPzHQB0XxFp+J7d3y3IeKsW0L0oWP0Xdi4QL+A9+BdPooMf8oCXHzrsIb+ZMsp/U9/UQ==" saltValue="y6pirhWEHGSptsZX0eQtqQ=="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169</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170</v>
      </c>
      <c r="C8" s="109"/>
      <c r="D8" s="110"/>
      <c r="E8" s="1"/>
    </row>
    <row r="9" spans="1:5" ht="26.25" x14ac:dyDescent="0.25">
      <c r="A9" s="1"/>
      <c r="B9" s="79" t="s">
        <v>214</v>
      </c>
      <c r="C9" s="7">
        <v>3256155.758674765</v>
      </c>
      <c r="D9" s="8" t="s">
        <v>3</v>
      </c>
      <c r="E9" s="1"/>
    </row>
    <row r="10" spans="1:5" ht="14.25" customHeight="1" x14ac:dyDescent="0.25">
      <c r="A10" s="1"/>
      <c r="B10" s="65" t="s">
        <v>171</v>
      </c>
      <c r="C10" s="7">
        <v>3987566</v>
      </c>
      <c r="D10" s="8" t="s">
        <v>3</v>
      </c>
      <c r="E10" s="1"/>
    </row>
    <row r="11" spans="1:5" ht="14.25" customHeight="1" x14ac:dyDescent="0.25">
      <c r="A11" s="1"/>
      <c r="B11" s="82" t="s">
        <v>48</v>
      </c>
      <c r="C11" s="10">
        <f>C10-C9</f>
        <v>731410.24132523499</v>
      </c>
      <c r="D11" s="11" t="s">
        <v>3</v>
      </c>
      <c r="E11" s="1"/>
    </row>
    <row r="12" spans="1:5" ht="14.25" customHeight="1" x14ac:dyDescent="0.25">
      <c r="A12" s="1"/>
      <c r="B12" s="108" t="s">
        <v>216</v>
      </c>
      <c r="C12" s="109"/>
      <c r="D12" s="110"/>
      <c r="E12" s="1"/>
    </row>
    <row r="13" spans="1:5" ht="26.25" x14ac:dyDescent="0.25">
      <c r="A13" s="1"/>
      <c r="B13" s="79" t="s">
        <v>215</v>
      </c>
      <c r="C13" s="7">
        <v>0</v>
      </c>
      <c r="D13" s="8" t="s">
        <v>3</v>
      </c>
      <c r="E13" s="1"/>
    </row>
    <row r="14" spans="1:5" ht="14.25" customHeight="1" x14ac:dyDescent="0.25">
      <c r="A14" s="1"/>
      <c r="B14" s="65" t="s">
        <v>172</v>
      </c>
      <c r="C14" s="7">
        <v>0</v>
      </c>
      <c r="D14" s="8" t="s">
        <v>3</v>
      </c>
      <c r="E14" s="1"/>
    </row>
    <row r="15" spans="1:5" ht="14.25" customHeight="1" x14ac:dyDescent="0.25">
      <c r="A15" s="1"/>
      <c r="B15" s="82" t="s">
        <v>48</v>
      </c>
      <c r="C15" s="10">
        <f>C14-C13</f>
        <v>0</v>
      </c>
      <c r="D15" s="11" t="s">
        <v>3</v>
      </c>
      <c r="E15" s="1"/>
    </row>
    <row r="16" spans="1:5" ht="14.25" customHeight="1" x14ac:dyDescent="0.25">
      <c r="A16" s="1"/>
      <c r="B16" s="33" t="s">
        <v>173</v>
      </c>
      <c r="C16" s="12">
        <f>C11+C15</f>
        <v>731410.24132523499</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uQNhvzih6h17DUWRb6TROpDgG+ym1qTdahZIjlfPqQq2anUFcf69Za3jYPt7cgxk81ANP2PY/fizNmjjWe+LzA==" saltValue="WeamBe5ZyC2Xekby0VSPow=="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64"/>
  <sheetViews>
    <sheetView showGridLines="0" zoomScaleNormal="100" workbookViewId="0"/>
  </sheetViews>
  <sheetFormatPr defaultColWidth="0" defaultRowHeight="15" zeroHeight="1" x14ac:dyDescent="0.25"/>
  <cols>
    <col min="1" max="1" width="5.28515625" style="1" customWidth="1"/>
    <col min="2" max="2" width="23.7109375" style="1" customWidth="1"/>
    <col min="3" max="3" width="7.7109375" style="1" customWidth="1"/>
    <col min="4" max="4" width="9.7109375" style="1" customWidth="1"/>
    <col min="5" max="5" width="3.28515625" style="1" customWidth="1"/>
    <col min="6" max="6" width="9.7109375" style="1" customWidth="1"/>
    <col min="7" max="7" width="3.28515625" style="1" customWidth="1"/>
    <col min="8" max="8" width="9.7109375" style="1" customWidth="1"/>
    <col min="9" max="9" width="3.28515625" style="1" customWidth="1"/>
    <col min="10" max="10" width="9.7109375" style="1" customWidth="1"/>
    <col min="11" max="11" width="3.28515625" style="1" customWidth="1"/>
    <col min="12" max="12" width="5.28515625" style="1" customWidth="1"/>
    <col min="13" max="16384" width="9.140625" style="1" hidden="1"/>
  </cols>
  <sheetData>
    <row r="1" spans="1:12" s="2" customFormat="1" x14ac:dyDescent="0.25">
      <c r="A1" s="1"/>
      <c r="B1" s="1"/>
      <c r="C1" s="1"/>
      <c r="D1" s="1"/>
      <c r="E1" s="1"/>
      <c r="F1" s="1"/>
      <c r="G1" s="1"/>
      <c r="H1" s="1"/>
      <c r="I1" s="1"/>
      <c r="J1" s="1"/>
      <c r="K1" s="1"/>
      <c r="L1" s="1"/>
    </row>
    <row r="2" spans="1:12" s="2" customFormat="1" x14ac:dyDescent="0.25">
      <c r="A2" s="1"/>
      <c r="B2" s="1"/>
      <c r="C2" s="1"/>
      <c r="D2" s="1"/>
      <c r="E2" s="1"/>
      <c r="F2" s="1"/>
      <c r="G2" s="1"/>
      <c r="H2" s="1"/>
      <c r="I2" s="1"/>
      <c r="J2" s="1"/>
      <c r="K2" s="1"/>
      <c r="L2" s="1"/>
    </row>
    <row r="3" spans="1:12" s="2" customFormat="1" ht="15" customHeight="1" x14ac:dyDescent="0.25">
      <c r="A3" s="1"/>
      <c r="B3" s="104" t="s">
        <v>112</v>
      </c>
      <c r="C3" s="104"/>
      <c r="D3" s="104"/>
      <c r="E3" s="104"/>
      <c r="F3" s="104"/>
      <c r="G3" s="104"/>
      <c r="H3" s="104"/>
      <c r="I3" s="104"/>
      <c r="J3" s="104"/>
      <c r="K3" s="104"/>
      <c r="L3" s="1"/>
    </row>
    <row r="4" spans="1:12" s="2" customFormat="1" ht="15" customHeight="1" x14ac:dyDescent="0.25">
      <c r="A4" s="1"/>
      <c r="B4" s="104"/>
      <c r="C4" s="104"/>
      <c r="D4" s="104"/>
      <c r="E4" s="104"/>
      <c r="F4" s="104"/>
      <c r="G4" s="104"/>
      <c r="H4" s="104"/>
      <c r="I4" s="104"/>
      <c r="J4" s="104"/>
      <c r="K4" s="104"/>
      <c r="L4" s="1"/>
    </row>
    <row r="5" spans="1:12" s="2" customFormat="1" x14ac:dyDescent="0.25">
      <c r="A5" s="1"/>
      <c r="B5" s="1"/>
      <c r="C5" s="1"/>
      <c r="D5" s="1"/>
      <c r="E5" s="1"/>
      <c r="F5" s="1"/>
      <c r="G5" s="1"/>
      <c r="H5" s="1"/>
      <c r="I5" s="1"/>
      <c r="J5" s="1"/>
      <c r="K5" s="1"/>
      <c r="L5" s="1"/>
    </row>
    <row r="6" spans="1:12" s="2" customFormat="1" x14ac:dyDescent="0.25">
      <c r="A6" s="1"/>
      <c r="B6" s="1"/>
      <c r="C6" s="1"/>
      <c r="D6" s="1"/>
      <c r="E6" s="1"/>
      <c r="F6" s="1"/>
      <c r="G6" s="1"/>
      <c r="H6" s="1"/>
      <c r="I6" s="1"/>
      <c r="J6" s="1"/>
      <c r="K6" s="1"/>
      <c r="L6" s="1"/>
    </row>
    <row r="7" spans="1:12" s="2" customFormat="1" x14ac:dyDescent="0.25">
      <c r="A7" s="1"/>
      <c r="B7" s="1"/>
      <c r="C7" s="1"/>
      <c r="D7" s="1"/>
      <c r="E7" s="1"/>
      <c r="F7" s="1"/>
      <c r="G7" s="1"/>
      <c r="H7" s="1"/>
      <c r="I7" s="1"/>
      <c r="J7" s="1"/>
      <c r="K7" s="1"/>
      <c r="L7" s="1"/>
    </row>
    <row r="8" spans="1:12" s="2" customFormat="1" x14ac:dyDescent="0.25">
      <c r="A8" s="1"/>
      <c r="B8" s="108" t="s">
        <v>86</v>
      </c>
      <c r="C8" s="109"/>
      <c r="D8" s="109"/>
      <c r="E8" s="109"/>
      <c r="F8" s="109"/>
      <c r="G8" s="109"/>
      <c r="H8" s="109"/>
      <c r="I8" s="109"/>
      <c r="J8" s="109"/>
      <c r="K8" s="110"/>
      <c r="L8" s="1"/>
    </row>
    <row r="9" spans="1:12" s="2" customFormat="1" ht="39.75" customHeight="1" x14ac:dyDescent="0.25">
      <c r="A9" s="1"/>
      <c r="B9" s="18" t="s">
        <v>0</v>
      </c>
      <c r="C9" s="18" t="s">
        <v>1</v>
      </c>
      <c r="D9" s="125" t="s">
        <v>96</v>
      </c>
      <c r="E9" s="126"/>
      <c r="F9" s="125" t="s">
        <v>2</v>
      </c>
      <c r="G9" s="126"/>
      <c r="H9" s="125" t="s">
        <v>95</v>
      </c>
      <c r="I9" s="126"/>
      <c r="J9" s="125" t="s">
        <v>26</v>
      </c>
      <c r="K9" s="126"/>
      <c r="L9" s="1"/>
    </row>
    <row r="10" spans="1:12" s="2" customFormat="1" x14ac:dyDescent="0.25">
      <c r="A10" s="1"/>
      <c r="B10" s="68" t="s">
        <v>221</v>
      </c>
      <c r="C10" s="42">
        <v>75</v>
      </c>
      <c r="D10" s="71">
        <v>2302421</v>
      </c>
      <c r="E10" s="14" t="s">
        <v>3</v>
      </c>
      <c r="F10" s="9">
        <f>IFERROR(D10/C10,0)</f>
        <v>30698.946666666667</v>
      </c>
      <c r="G10" s="14" t="s">
        <v>3</v>
      </c>
      <c r="H10" s="38">
        <v>0</v>
      </c>
      <c r="I10" s="14" t="s">
        <v>3</v>
      </c>
      <c r="J10" s="38">
        <v>0</v>
      </c>
      <c r="K10" s="14" t="s">
        <v>3</v>
      </c>
      <c r="L10" s="1"/>
    </row>
    <row r="11" spans="1:12" s="2" customFormat="1" x14ac:dyDescent="0.25">
      <c r="A11" s="1"/>
      <c r="B11" s="68" t="s">
        <v>222</v>
      </c>
      <c r="C11" s="42">
        <v>75</v>
      </c>
      <c r="D11" s="71">
        <v>3884573</v>
      </c>
      <c r="E11" s="14" t="s">
        <v>3</v>
      </c>
      <c r="F11" s="9">
        <f t="shared" ref="F11:F16" si="0">IFERROR(D11/C11,0)</f>
        <v>51794.306666666664</v>
      </c>
      <c r="G11" s="14" t="s">
        <v>3</v>
      </c>
      <c r="H11" s="38">
        <v>0</v>
      </c>
      <c r="I11" s="14" t="s">
        <v>3</v>
      </c>
      <c r="J11" s="38">
        <v>0</v>
      </c>
      <c r="K11" s="14" t="s">
        <v>3</v>
      </c>
      <c r="L11" s="1"/>
    </row>
    <row r="12" spans="1:12" s="2" customFormat="1" x14ac:dyDescent="0.25">
      <c r="A12" s="1"/>
      <c r="B12" s="68" t="s">
        <v>223</v>
      </c>
      <c r="C12" s="42">
        <v>50</v>
      </c>
      <c r="D12" s="71">
        <v>45474</v>
      </c>
      <c r="E12" s="14" t="s">
        <v>3</v>
      </c>
      <c r="F12" s="9">
        <f t="shared" si="0"/>
        <v>909.48</v>
      </c>
      <c r="G12" s="14" t="s">
        <v>3</v>
      </c>
      <c r="H12" s="38">
        <v>0</v>
      </c>
      <c r="I12" s="14" t="s">
        <v>3</v>
      </c>
      <c r="J12" s="38">
        <v>0</v>
      </c>
      <c r="K12" s="14" t="s">
        <v>3</v>
      </c>
      <c r="L12" s="1"/>
    </row>
    <row r="13" spans="1:12" s="2" customFormat="1" ht="26.25" x14ac:dyDescent="0.25">
      <c r="A13" s="1"/>
      <c r="B13" s="68" t="s">
        <v>224</v>
      </c>
      <c r="C13" s="42">
        <v>50</v>
      </c>
      <c r="D13" s="71">
        <v>38778</v>
      </c>
      <c r="E13" s="14" t="s">
        <v>3</v>
      </c>
      <c r="F13" s="9">
        <f t="shared" si="0"/>
        <v>775.56</v>
      </c>
      <c r="G13" s="14" t="s">
        <v>3</v>
      </c>
      <c r="H13" s="38">
        <v>0</v>
      </c>
      <c r="I13" s="14" t="s">
        <v>3</v>
      </c>
      <c r="J13" s="38">
        <v>0</v>
      </c>
      <c r="K13" s="14" t="s">
        <v>3</v>
      </c>
      <c r="L13" s="1"/>
    </row>
    <row r="14" spans="1:12" s="2" customFormat="1" ht="26.25" x14ac:dyDescent="0.25">
      <c r="A14" s="1"/>
      <c r="B14" s="68" t="s">
        <v>225</v>
      </c>
      <c r="C14" s="42">
        <v>75</v>
      </c>
      <c r="D14" s="71">
        <v>6155244</v>
      </c>
      <c r="E14" s="14" t="s">
        <v>3</v>
      </c>
      <c r="F14" s="9">
        <f t="shared" si="0"/>
        <v>82069.919999999998</v>
      </c>
      <c r="G14" s="14" t="s">
        <v>3</v>
      </c>
      <c r="H14" s="38">
        <v>0</v>
      </c>
      <c r="I14" s="14" t="s">
        <v>3</v>
      </c>
      <c r="J14" s="38">
        <v>0</v>
      </c>
      <c r="K14" s="14" t="s">
        <v>3</v>
      </c>
      <c r="L14" s="1"/>
    </row>
    <row r="15" spans="1:12" s="2" customFormat="1" ht="26.25" x14ac:dyDescent="0.25">
      <c r="A15" s="1"/>
      <c r="B15" s="68" t="s">
        <v>226</v>
      </c>
      <c r="C15" s="42">
        <v>75</v>
      </c>
      <c r="D15" s="71">
        <v>363064</v>
      </c>
      <c r="E15" s="14" t="s">
        <v>3</v>
      </c>
      <c r="F15" s="9">
        <f t="shared" si="0"/>
        <v>4840.8533333333335</v>
      </c>
      <c r="G15" s="14" t="s">
        <v>3</v>
      </c>
      <c r="H15" s="38">
        <v>0</v>
      </c>
      <c r="I15" s="14" t="s">
        <v>3</v>
      </c>
      <c r="J15" s="38">
        <v>0</v>
      </c>
      <c r="K15" s="14" t="s">
        <v>3</v>
      </c>
      <c r="L15" s="1"/>
    </row>
    <row r="16" spans="1:12" s="2" customFormat="1" ht="26.25" x14ac:dyDescent="0.25">
      <c r="A16" s="1"/>
      <c r="B16" s="68" t="s">
        <v>227</v>
      </c>
      <c r="C16" s="42">
        <v>75</v>
      </c>
      <c r="D16" s="71">
        <v>1407818</v>
      </c>
      <c r="E16" s="14" t="s">
        <v>3</v>
      </c>
      <c r="F16" s="9">
        <f t="shared" si="0"/>
        <v>18770.906666666666</v>
      </c>
      <c r="G16" s="14" t="s">
        <v>3</v>
      </c>
      <c r="H16" s="38">
        <v>0</v>
      </c>
      <c r="I16" s="14" t="s">
        <v>3</v>
      </c>
      <c r="J16" s="38">
        <v>0</v>
      </c>
      <c r="K16" s="14" t="s">
        <v>3</v>
      </c>
      <c r="L16" s="1"/>
    </row>
    <row r="17" spans="1:12" s="2" customFormat="1" x14ac:dyDescent="0.25">
      <c r="A17" s="1"/>
      <c r="B17" s="76" t="s">
        <v>218</v>
      </c>
      <c r="C17" s="77"/>
      <c r="D17" s="78"/>
      <c r="E17" s="78"/>
      <c r="F17" s="12">
        <f>SUM(F10:F16)</f>
        <v>189859.97333333333</v>
      </c>
      <c r="G17" s="12" t="s">
        <v>94</v>
      </c>
      <c r="H17" s="12">
        <f>SUM(H10:H16)</f>
        <v>0</v>
      </c>
      <c r="I17" s="12" t="s">
        <v>94</v>
      </c>
      <c r="J17" s="12">
        <f>SUM(J10:J16)</f>
        <v>0</v>
      </c>
      <c r="K17" s="13" t="s">
        <v>3</v>
      </c>
      <c r="L17" s="1"/>
    </row>
    <row r="18" spans="1:12" s="2" customFormat="1" x14ac:dyDescent="0.25">
      <c r="A18" s="1"/>
      <c r="B18" s="1"/>
      <c r="C18" s="1"/>
      <c r="D18" s="1"/>
      <c r="E18" s="1"/>
      <c r="F18" s="1"/>
      <c r="G18" s="1"/>
      <c r="H18" s="1"/>
      <c r="I18" s="1"/>
      <c r="J18" s="1"/>
      <c r="K18" s="1"/>
      <c r="L18" s="1"/>
    </row>
    <row r="19" spans="1:12" s="2" customFormat="1" x14ac:dyDescent="0.25">
      <c r="A19" s="1"/>
      <c r="B19" s="1"/>
      <c r="C19" s="1"/>
      <c r="D19" s="1"/>
      <c r="E19" s="1"/>
      <c r="F19" s="1"/>
      <c r="G19" s="1"/>
      <c r="H19" s="1"/>
      <c r="I19" s="1"/>
      <c r="J19" s="1"/>
      <c r="K19" s="1"/>
      <c r="L19" s="1"/>
    </row>
    <row r="20" spans="1:12" s="2" customFormat="1" x14ac:dyDescent="0.25">
      <c r="A20" s="1"/>
      <c r="B20" s="1"/>
      <c r="C20" s="1"/>
      <c r="D20" s="1"/>
      <c r="E20" s="1"/>
      <c r="F20" s="1"/>
      <c r="G20" s="1"/>
      <c r="H20" s="1"/>
      <c r="I20" s="1"/>
      <c r="J20" s="1"/>
      <c r="K20" s="1"/>
      <c r="L20" s="1"/>
    </row>
    <row r="21" spans="1:12" s="2" customFormat="1" x14ac:dyDescent="0.25">
      <c r="A21" s="1"/>
      <c r="B21" s="1"/>
      <c r="C21" s="1"/>
      <c r="D21" s="1"/>
      <c r="E21" s="1"/>
      <c r="F21" s="1"/>
      <c r="G21" s="1"/>
      <c r="H21" s="1"/>
      <c r="I21" s="1"/>
      <c r="J21" s="1"/>
      <c r="K21" s="1"/>
      <c r="L21" s="1"/>
    </row>
    <row r="22" spans="1:12" s="2" customFormat="1" x14ac:dyDescent="0.25">
      <c r="A22" s="1"/>
      <c r="B22" s="1"/>
      <c r="C22" s="1"/>
      <c r="D22" s="1"/>
      <c r="E22" s="1"/>
      <c r="F22" s="1"/>
      <c r="G22" s="1"/>
      <c r="H22" s="1"/>
      <c r="I22" s="1"/>
      <c r="J22" s="1"/>
      <c r="K22" s="1"/>
      <c r="L22" s="1"/>
    </row>
    <row r="23" spans="1:12" s="2" customFormat="1" x14ac:dyDescent="0.25">
      <c r="A23" s="1"/>
      <c r="B23" s="1"/>
      <c r="C23" s="1"/>
      <c r="D23" s="1"/>
      <c r="E23" s="1"/>
      <c r="F23" s="1"/>
      <c r="G23" s="1"/>
      <c r="H23" s="1"/>
      <c r="I23" s="1"/>
      <c r="J23" s="1"/>
      <c r="K23" s="1"/>
      <c r="L23" s="1"/>
    </row>
    <row r="24" spans="1:12" s="2" customFormat="1" x14ac:dyDescent="0.25">
      <c r="A24" s="1"/>
      <c r="B24" s="1"/>
      <c r="C24" s="1"/>
      <c r="D24" s="1"/>
      <c r="E24" s="1"/>
      <c r="F24" s="1"/>
      <c r="G24" s="1"/>
      <c r="H24" s="1"/>
      <c r="I24" s="1"/>
      <c r="J24" s="1"/>
      <c r="K24" s="1"/>
      <c r="L24" s="1"/>
    </row>
    <row r="25" spans="1:12" s="2" customFormat="1" x14ac:dyDescent="0.25">
      <c r="A25" s="1"/>
      <c r="B25" s="1"/>
      <c r="C25" s="1"/>
      <c r="D25" s="1"/>
      <c r="E25" s="1"/>
      <c r="F25" s="1"/>
      <c r="G25" s="1"/>
      <c r="H25" s="1"/>
      <c r="I25" s="1"/>
      <c r="J25" s="1"/>
      <c r="K25" s="1"/>
      <c r="L25" s="1"/>
    </row>
    <row r="26" spans="1:12" s="2" customFormat="1" x14ac:dyDescent="0.25">
      <c r="A26" s="1"/>
      <c r="B26" s="1"/>
      <c r="C26" s="1"/>
      <c r="D26" s="1"/>
      <c r="E26" s="1"/>
      <c r="F26" s="1"/>
      <c r="G26" s="1"/>
      <c r="H26" s="1"/>
      <c r="I26" s="1"/>
      <c r="J26" s="1"/>
      <c r="K26" s="1"/>
      <c r="L26" s="1"/>
    </row>
    <row r="27" spans="1:12" s="2" customFormat="1" x14ac:dyDescent="0.25">
      <c r="A27" s="1"/>
      <c r="B27" s="1"/>
      <c r="C27" s="1"/>
      <c r="D27" s="1"/>
      <c r="E27" s="1"/>
      <c r="F27" s="1"/>
      <c r="G27" s="1"/>
      <c r="H27" s="1"/>
      <c r="I27" s="1"/>
      <c r="J27" s="1"/>
      <c r="K27" s="1"/>
      <c r="L27" s="1"/>
    </row>
    <row r="28" spans="1:12" s="2" customFormat="1" x14ac:dyDescent="0.25">
      <c r="A28" s="1"/>
      <c r="B28" s="1"/>
      <c r="C28" s="1"/>
      <c r="D28" s="1"/>
      <c r="E28" s="1"/>
      <c r="F28" s="1"/>
      <c r="G28" s="1"/>
      <c r="H28" s="1"/>
      <c r="I28" s="1"/>
      <c r="J28" s="1"/>
      <c r="K28" s="1"/>
      <c r="L28" s="1"/>
    </row>
    <row r="29" spans="1:12" s="2" customFormat="1" x14ac:dyDescent="0.25">
      <c r="A29" s="1"/>
      <c r="B29" s="1"/>
      <c r="C29" s="1"/>
      <c r="D29" s="1"/>
      <c r="E29" s="1"/>
      <c r="F29" s="1"/>
      <c r="G29" s="1"/>
      <c r="H29" s="1"/>
      <c r="I29" s="1"/>
      <c r="J29" s="1"/>
      <c r="K29" s="1"/>
      <c r="L29" s="1"/>
    </row>
    <row r="30" spans="1:12" s="2" customFormat="1" x14ac:dyDescent="0.25">
      <c r="A30" s="1"/>
      <c r="B30" s="1"/>
      <c r="C30" s="1"/>
      <c r="D30" s="1"/>
      <c r="E30" s="1"/>
      <c r="F30" s="1"/>
      <c r="G30" s="1"/>
      <c r="H30" s="1"/>
      <c r="I30" s="1"/>
      <c r="J30" s="1"/>
      <c r="K30" s="1"/>
      <c r="L30" s="1"/>
    </row>
    <row r="31" spans="1:12" s="2" customFormat="1" x14ac:dyDescent="0.25">
      <c r="A31" s="1"/>
      <c r="B31" s="1"/>
      <c r="C31" s="1"/>
      <c r="D31" s="1"/>
      <c r="E31" s="1"/>
      <c r="F31" s="1"/>
      <c r="G31" s="1"/>
      <c r="H31" s="1"/>
      <c r="I31" s="1"/>
      <c r="J31" s="1"/>
      <c r="K31" s="1"/>
      <c r="L31" s="1"/>
    </row>
    <row r="32" spans="1:12" s="2" customFormat="1" x14ac:dyDescent="0.25">
      <c r="A32" s="1"/>
      <c r="B32" s="1"/>
      <c r="C32" s="1"/>
      <c r="D32" s="1"/>
      <c r="E32" s="1"/>
      <c r="F32" s="1"/>
      <c r="G32" s="1"/>
      <c r="H32" s="1"/>
      <c r="I32" s="1"/>
      <c r="J32" s="1"/>
      <c r="K32" s="1"/>
      <c r="L32" s="1"/>
    </row>
    <row r="33" spans="1:12" s="2" customFormat="1" x14ac:dyDescent="0.25">
      <c r="A33" s="1"/>
      <c r="B33" s="1"/>
      <c r="C33" s="1"/>
      <c r="D33" s="1"/>
      <c r="E33" s="1"/>
      <c r="F33" s="1"/>
      <c r="G33" s="1"/>
      <c r="H33" s="1"/>
      <c r="I33" s="1"/>
      <c r="J33" s="1"/>
      <c r="K33" s="1"/>
      <c r="L33" s="1"/>
    </row>
    <row r="34" spans="1:12" s="2" customFormat="1" x14ac:dyDescent="0.25">
      <c r="A34" s="1"/>
      <c r="B34" s="1"/>
      <c r="C34" s="1"/>
      <c r="D34" s="1"/>
      <c r="E34" s="1"/>
      <c r="F34" s="1"/>
      <c r="G34" s="1"/>
      <c r="H34" s="1"/>
      <c r="I34" s="1"/>
      <c r="J34" s="1"/>
      <c r="K34" s="1"/>
      <c r="L34" s="1"/>
    </row>
    <row r="35" spans="1:12" s="2" customFormat="1" x14ac:dyDescent="0.25">
      <c r="A35" s="1"/>
      <c r="B35" s="1"/>
      <c r="C35" s="1"/>
      <c r="D35" s="1"/>
      <c r="E35" s="1"/>
      <c r="F35" s="1"/>
      <c r="G35" s="1"/>
      <c r="H35" s="1"/>
      <c r="I35" s="1"/>
      <c r="J35" s="1"/>
      <c r="K35" s="1"/>
      <c r="L35" s="1"/>
    </row>
    <row r="36" spans="1:12" s="2" customFormat="1" x14ac:dyDescent="0.25">
      <c r="A36" s="1"/>
      <c r="B36" s="1"/>
      <c r="C36" s="1"/>
      <c r="D36" s="1"/>
      <c r="E36" s="1"/>
      <c r="F36" s="1"/>
      <c r="G36" s="1"/>
      <c r="H36" s="1"/>
      <c r="I36" s="1"/>
      <c r="J36" s="1"/>
      <c r="K36" s="1"/>
      <c r="L36" s="1"/>
    </row>
    <row r="37" spans="1:12" s="2" customFormat="1" x14ac:dyDescent="0.25">
      <c r="A37" s="1"/>
      <c r="B37" s="1"/>
      <c r="C37" s="1"/>
      <c r="D37" s="1"/>
      <c r="E37" s="1"/>
      <c r="F37" s="1"/>
      <c r="G37" s="1"/>
      <c r="H37" s="1"/>
      <c r="I37" s="1"/>
      <c r="J37" s="1"/>
      <c r="K37" s="1"/>
      <c r="L37" s="1"/>
    </row>
    <row r="38" spans="1:12" s="2" customFormat="1" x14ac:dyDescent="0.25">
      <c r="A38" s="1"/>
      <c r="B38" s="1"/>
      <c r="C38" s="1"/>
      <c r="D38" s="1"/>
      <c r="E38" s="1"/>
      <c r="F38" s="1"/>
      <c r="G38" s="1"/>
      <c r="H38" s="1"/>
      <c r="I38" s="1"/>
      <c r="J38" s="1"/>
      <c r="K38" s="1"/>
      <c r="L38" s="1"/>
    </row>
    <row r="39" spans="1:12" s="2" customFormat="1" x14ac:dyDescent="0.25">
      <c r="A39" s="1"/>
      <c r="B39" s="1"/>
      <c r="C39" s="1"/>
      <c r="D39" s="1"/>
      <c r="E39" s="1"/>
      <c r="F39" s="1"/>
      <c r="G39" s="1"/>
      <c r="H39" s="1"/>
      <c r="I39" s="1"/>
      <c r="J39" s="1"/>
      <c r="K39" s="1"/>
      <c r="L39" s="1"/>
    </row>
    <row r="40" spans="1:12" s="2" customFormat="1" x14ac:dyDescent="0.25">
      <c r="A40" s="1"/>
      <c r="B40" s="1"/>
      <c r="C40" s="1"/>
      <c r="D40" s="1"/>
      <c r="E40" s="1"/>
      <c r="F40" s="1"/>
      <c r="G40" s="1"/>
      <c r="H40" s="1"/>
      <c r="I40" s="1"/>
      <c r="J40" s="1"/>
      <c r="K40" s="1"/>
      <c r="L40" s="1"/>
    </row>
    <row r="41" spans="1:12" s="2" customFormat="1" x14ac:dyDescent="0.25">
      <c r="A41" s="1"/>
      <c r="B41" s="1"/>
      <c r="C41" s="1"/>
      <c r="D41" s="1"/>
      <c r="E41" s="1"/>
      <c r="F41" s="1"/>
      <c r="G41" s="1"/>
      <c r="H41" s="1"/>
      <c r="I41" s="1"/>
      <c r="J41" s="1"/>
      <c r="K41" s="1"/>
      <c r="L41" s="1"/>
    </row>
    <row r="42" spans="1:12" s="2" customFormat="1" x14ac:dyDescent="0.25">
      <c r="A42" s="1"/>
      <c r="B42" s="1"/>
      <c r="C42" s="1"/>
      <c r="D42" s="1"/>
      <c r="E42" s="1"/>
      <c r="F42" s="1"/>
      <c r="G42" s="1"/>
      <c r="H42" s="1"/>
      <c r="I42" s="1"/>
      <c r="J42" s="1"/>
      <c r="K42" s="1"/>
      <c r="L42" s="1"/>
    </row>
    <row r="43" spans="1:12" s="2" customFormat="1" x14ac:dyDescent="0.25">
      <c r="A43" s="1"/>
      <c r="B43" s="1"/>
      <c r="C43" s="1"/>
      <c r="D43" s="1"/>
      <c r="E43" s="1"/>
      <c r="F43" s="1"/>
      <c r="G43" s="1"/>
      <c r="H43" s="1"/>
      <c r="I43" s="1"/>
      <c r="J43" s="1"/>
      <c r="K43" s="1"/>
      <c r="L43" s="1"/>
    </row>
    <row r="44" spans="1:12" s="2" customFormat="1" x14ac:dyDescent="0.25">
      <c r="A44" s="1"/>
      <c r="B44" s="1"/>
      <c r="C44" s="1"/>
      <c r="D44" s="1"/>
      <c r="E44" s="1"/>
      <c r="F44" s="1"/>
      <c r="G44" s="1"/>
      <c r="H44" s="1"/>
      <c r="I44" s="1"/>
      <c r="J44" s="1"/>
      <c r="K44" s="1"/>
      <c r="L44" s="1"/>
    </row>
    <row r="45" spans="1:12" s="2" customFormat="1" x14ac:dyDescent="0.25">
      <c r="A45" s="1"/>
      <c r="B45" s="1"/>
      <c r="C45" s="1"/>
      <c r="D45" s="1"/>
      <c r="E45" s="1"/>
      <c r="F45" s="1"/>
      <c r="G45" s="1"/>
      <c r="H45" s="1"/>
      <c r="I45" s="1"/>
      <c r="J45" s="1"/>
      <c r="K45" s="1"/>
      <c r="L45" s="1"/>
    </row>
    <row r="46" spans="1:12" s="2" customFormat="1" x14ac:dyDescent="0.25">
      <c r="A46" s="1"/>
      <c r="B46" s="1"/>
      <c r="C46" s="1"/>
      <c r="D46" s="1"/>
      <c r="E46" s="1"/>
      <c r="F46" s="1"/>
      <c r="G46" s="1"/>
      <c r="H46" s="1"/>
      <c r="I46" s="1"/>
      <c r="J46" s="1"/>
      <c r="K46" s="1"/>
      <c r="L46" s="1"/>
    </row>
    <row r="47" spans="1:12" s="2" customFormat="1" hidden="1" x14ac:dyDescent="0.25">
      <c r="A47" s="1"/>
      <c r="B47" s="1"/>
      <c r="C47" s="1"/>
      <c r="D47" s="1"/>
      <c r="E47" s="1"/>
      <c r="F47" s="1"/>
      <c r="G47" s="1"/>
      <c r="H47" s="1"/>
      <c r="I47" s="1"/>
      <c r="J47" s="1"/>
      <c r="K47" s="1"/>
      <c r="L47" s="1"/>
    </row>
    <row r="48" spans="1:12" s="2" customFormat="1" hidden="1" x14ac:dyDescent="0.25">
      <c r="A48" s="1"/>
      <c r="B48" s="1"/>
      <c r="C48" s="1"/>
      <c r="D48" s="1"/>
      <c r="E48" s="1"/>
      <c r="F48" s="1"/>
      <c r="G48" s="1"/>
      <c r="H48" s="1"/>
      <c r="I48" s="1"/>
      <c r="J48" s="1"/>
      <c r="K48" s="1"/>
      <c r="L48" s="1"/>
    </row>
    <row r="49" spans="1:12" s="2" customFormat="1" hidden="1" x14ac:dyDescent="0.25">
      <c r="A49" s="1"/>
      <c r="B49" s="1"/>
      <c r="C49" s="1"/>
      <c r="D49" s="1"/>
      <c r="E49" s="1"/>
      <c r="F49" s="1"/>
      <c r="G49" s="1"/>
      <c r="H49" s="1"/>
      <c r="I49" s="1"/>
      <c r="J49" s="1"/>
      <c r="K49" s="1"/>
      <c r="L49" s="1"/>
    </row>
    <row r="50" spans="1:12" s="2" customFormat="1" hidden="1" x14ac:dyDescent="0.25">
      <c r="A50" s="1"/>
      <c r="B50" s="1"/>
      <c r="C50" s="1"/>
      <c r="D50" s="1"/>
      <c r="E50" s="1"/>
      <c r="F50" s="1"/>
      <c r="G50" s="1"/>
      <c r="H50" s="1"/>
      <c r="I50" s="1"/>
      <c r="J50" s="1"/>
      <c r="K50" s="1"/>
      <c r="L50" s="1"/>
    </row>
    <row r="51" spans="1:12" s="2" customFormat="1" hidden="1" x14ac:dyDescent="0.25">
      <c r="A51" s="1"/>
      <c r="B51" s="1"/>
      <c r="C51" s="1"/>
      <c r="D51" s="1"/>
      <c r="E51" s="1"/>
      <c r="F51" s="1"/>
      <c r="G51" s="1"/>
      <c r="H51" s="1"/>
      <c r="I51" s="1"/>
      <c r="J51" s="1"/>
      <c r="K51" s="1"/>
      <c r="L51" s="1"/>
    </row>
    <row r="52" spans="1:12" s="2" customFormat="1" hidden="1" x14ac:dyDescent="0.25">
      <c r="A52" s="1"/>
      <c r="B52" s="1"/>
      <c r="C52" s="1"/>
      <c r="D52" s="1"/>
      <c r="E52" s="1"/>
      <c r="F52" s="1"/>
      <c r="G52" s="1"/>
      <c r="H52" s="1"/>
      <c r="I52" s="1"/>
      <c r="J52" s="1"/>
      <c r="K52" s="1"/>
      <c r="L52" s="1"/>
    </row>
    <row r="53" spans="1:12" s="2" customFormat="1" hidden="1" x14ac:dyDescent="0.25">
      <c r="A53" s="44"/>
      <c r="B53" s="44"/>
      <c r="C53" s="44"/>
      <c r="D53" s="44"/>
      <c r="E53" s="44"/>
      <c r="F53" s="44"/>
      <c r="G53" s="44"/>
      <c r="H53" s="44"/>
      <c r="I53" s="44"/>
      <c r="J53" s="44"/>
      <c r="K53" s="44"/>
      <c r="L53" s="44"/>
    </row>
    <row r="54" spans="1:12" s="2" customFormat="1" hidden="1" x14ac:dyDescent="0.25">
      <c r="A54" s="44"/>
      <c r="B54" s="44"/>
      <c r="C54" s="44"/>
      <c r="D54" s="44"/>
      <c r="E54" s="44"/>
      <c r="F54" s="44"/>
      <c r="G54" s="44"/>
      <c r="H54" s="44"/>
      <c r="I54" s="44"/>
      <c r="J54" s="44"/>
      <c r="K54" s="44"/>
      <c r="L54" s="44"/>
    </row>
    <row r="55" spans="1:12" s="2" customFormat="1" hidden="1" x14ac:dyDescent="0.25"/>
    <row r="56" spans="1:12" s="2" customFormat="1" hidden="1" x14ac:dyDescent="0.25"/>
    <row r="57" spans="1:12" s="2" customFormat="1" hidden="1" x14ac:dyDescent="0.25"/>
    <row r="58" spans="1:12" s="2" customFormat="1" hidden="1" x14ac:dyDescent="0.25"/>
    <row r="59" spans="1:12" hidden="1" x14ac:dyDescent="0.25"/>
    <row r="60" spans="1:12" hidden="1" x14ac:dyDescent="0.25"/>
    <row r="61" spans="1:12" hidden="1" x14ac:dyDescent="0.25"/>
    <row r="62" spans="1:12" hidden="1" x14ac:dyDescent="0.25"/>
    <row r="63" spans="1:12" hidden="1" x14ac:dyDescent="0.25"/>
    <row r="64" spans="1:12" hidden="1" x14ac:dyDescent="0.25"/>
  </sheetData>
  <sheetProtection algorithmName="SHA-512" hashValue="AzihhOd7F1d7YiR4LotkTc8w9A0iXVkeAiOUXyG/j/pEf7RK8rjBz77lRdcMazWo7NVpiKNBfEaxu+5LmAgjEw==" saltValue="sxYl+RCQWGJ8v9Zm9PCz+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113</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19)'!H17</f>
        <v>0</v>
      </c>
      <c r="D10" s="14" t="s">
        <v>3</v>
      </c>
      <c r="E10" s="9">
        <f>'Fane 10. Anlægsprojekter (§ 19)'!F17+'Fane 10. Anlægsprojekter (§ 19)'!J17</f>
        <v>189859.97333333333</v>
      </c>
      <c r="F10" s="14" t="s">
        <v>3</v>
      </c>
      <c r="G10" s="1"/>
    </row>
    <row r="11" spans="1:7" x14ac:dyDescent="0.25">
      <c r="A11" s="1"/>
      <c r="B11" s="24" t="s">
        <v>239</v>
      </c>
      <c r="C11" s="21">
        <v>36000</v>
      </c>
      <c r="D11" s="14" t="s">
        <v>3</v>
      </c>
      <c r="E11" s="9">
        <v>112053</v>
      </c>
      <c r="F11" s="14" t="s">
        <v>3</v>
      </c>
      <c r="G11" s="1"/>
    </row>
    <row r="12" spans="1:7" x14ac:dyDescent="0.25">
      <c r="A12" s="1"/>
      <c r="B12" s="24" t="s">
        <v>240</v>
      </c>
      <c r="C12" s="21">
        <v>0</v>
      </c>
      <c r="D12" s="14" t="s">
        <v>3</v>
      </c>
      <c r="E12" s="9">
        <v>133668</v>
      </c>
      <c r="F12" s="14" t="s">
        <v>3</v>
      </c>
      <c r="G12" s="1"/>
    </row>
    <row r="13" spans="1:7" x14ac:dyDescent="0.25">
      <c r="A13" s="1"/>
      <c r="B13" s="24" t="s">
        <v>241</v>
      </c>
      <c r="C13" s="21">
        <v>485552.43</v>
      </c>
      <c r="D13" s="14" t="s">
        <v>3</v>
      </c>
      <c r="E13" s="9">
        <v>635233</v>
      </c>
      <c r="F13" s="14" t="s">
        <v>3</v>
      </c>
      <c r="G13" s="1"/>
    </row>
    <row r="14" spans="1:7" x14ac:dyDescent="0.25">
      <c r="A14" s="1"/>
      <c r="B14" s="24" t="s">
        <v>242</v>
      </c>
      <c r="C14" s="21">
        <v>0</v>
      </c>
      <c r="D14" s="14" t="s">
        <v>3</v>
      </c>
      <c r="E14" s="9">
        <v>27178</v>
      </c>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138</v>
      </c>
      <c r="C19" s="12">
        <f>SUM(C10:C18)</f>
        <v>521552.43</v>
      </c>
      <c r="D19" s="13" t="s">
        <v>3</v>
      </c>
      <c r="E19" s="12">
        <f>SUM(E10:E18)</f>
        <v>1097991.9733333334</v>
      </c>
      <c r="F19" s="13" t="s">
        <v>3</v>
      </c>
      <c r="G19" s="1"/>
    </row>
    <row r="20" spans="1:7" x14ac:dyDescent="0.25">
      <c r="A20" s="1"/>
      <c r="B20" s="33" t="s">
        <v>174</v>
      </c>
      <c r="C20" s="12">
        <f>C19*(1+'Fane 15. Nøgletal'!C10)</f>
        <v>556131.35610900004</v>
      </c>
      <c r="D20" s="13" t="s">
        <v>3</v>
      </c>
      <c r="E20" s="12">
        <f>E19*(1+'Fane 15. Nøgletal'!C10)</f>
        <v>1170788.8411653335</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RNTCLtyGvASr1vfZet4M350IHxMS5Bdtf1dmNt8GT5WvWJW7ZQZzf+IdsA+iNpuEiCR4FSsXYyLHwv7kIab0Eg==" saltValue="JzdPxdsKVUCcNkmVaqXQO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114</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175</v>
      </c>
      <c r="C8" s="109"/>
      <c r="D8" s="109"/>
      <c r="E8" s="109"/>
      <c r="F8" s="110"/>
      <c r="G8" s="1"/>
    </row>
    <row r="9" spans="1:7" x14ac:dyDescent="0.25">
      <c r="A9" s="1"/>
      <c r="B9" s="80" t="s">
        <v>17</v>
      </c>
      <c r="C9" s="82" t="s">
        <v>11</v>
      </c>
      <c r="D9" s="81"/>
      <c r="E9" s="82" t="s">
        <v>27</v>
      </c>
      <c r="F9" s="32"/>
      <c r="G9" s="1"/>
    </row>
    <row r="10" spans="1:7" x14ac:dyDescent="0.25">
      <c r="A10" s="1"/>
      <c r="B10" s="24" t="s">
        <v>243</v>
      </c>
      <c r="C10" s="21">
        <v>639733</v>
      </c>
      <c r="D10" s="14" t="s">
        <v>3</v>
      </c>
      <c r="E10" s="9">
        <v>0</v>
      </c>
      <c r="F10" s="14" t="s">
        <v>3</v>
      </c>
      <c r="G10" s="1"/>
    </row>
    <row r="11" spans="1:7" x14ac:dyDescent="0.25">
      <c r="A11" s="1"/>
      <c r="B11" s="24" t="s">
        <v>244</v>
      </c>
      <c r="C11" s="21">
        <v>47875</v>
      </c>
      <c r="D11" s="14" t="s">
        <v>3</v>
      </c>
      <c r="E11" s="9">
        <v>0</v>
      </c>
      <c r="F11" s="14" t="s">
        <v>3</v>
      </c>
      <c r="G11" s="1"/>
    </row>
    <row r="12" spans="1:7" x14ac:dyDescent="0.25">
      <c r="A12" s="1"/>
      <c r="B12" s="33" t="s">
        <v>176</v>
      </c>
      <c r="C12" s="12">
        <f>SUM(C10:C11)</f>
        <v>687608</v>
      </c>
      <c r="D12" s="13" t="s">
        <v>3</v>
      </c>
      <c r="E12" s="12">
        <f>SUM(E10:E11)</f>
        <v>0</v>
      </c>
      <c r="F12" s="13" t="s">
        <v>3</v>
      </c>
      <c r="G12" s="1"/>
    </row>
    <row r="13" spans="1:7" x14ac:dyDescent="0.25">
      <c r="A13" s="1"/>
      <c r="B13" s="33" t="s">
        <v>177</v>
      </c>
      <c r="C13" s="12">
        <f>C12*(1+'Fane 15. Nøgletal'!C10)^2</f>
        <v>781807.33240952005</v>
      </c>
      <c r="D13" s="13" t="s">
        <v>3</v>
      </c>
      <c r="E13" s="12">
        <f>E12*(1+'Fane 15. Nøgletal'!C10)^2</f>
        <v>0</v>
      </c>
      <c r="F13" s="13" t="s">
        <v>3</v>
      </c>
      <c r="G13" s="1"/>
    </row>
    <row r="14" spans="1:7" x14ac:dyDescent="0.25">
      <c r="A14" s="1"/>
      <c r="B14" s="1"/>
      <c r="C14" s="1"/>
      <c r="D14" s="1"/>
      <c r="E14" s="1"/>
      <c r="F14" s="1"/>
      <c r="G14" s="1"/>
    </row>
    <row r="15" spans="1:7" x14ac:dyDescent="0.25">
      <c r="A15" s="1"/>
      <c r="B15" s="127"/>
      <c r="C15" s="127"/>
      <c r="D15" s="127"/>
      <c r="E15" s="127"/>
      <c r="F15" s="127"/>
      <c r="G15" s="1"/>
    </row>
    <row r="16" spans="1:7" x14ac:dyDescent="0.25">
      <c r="A16" s="1"/>
      <c r="B16" s="47"/>
      <c r="C16" s="47"/>
      <c r="D16" s="47"/>
      <c r="E16" s="47"/>
      <c r="F16" s="48"/>
      <c r="G16" s="1"/>
    </row>
    <row r="17" spans="1:7" x14ac:dyDescent="0.25">
      <c r="A17" s="1"/>
      <c r="B17" s="49"/>
      <c r="C17" s="50"/>
      <c r="D17" s="51"/>
      <c r="E17" s="52"/>
      <c r="F17" s="51"/>
      <c r="G17" s="1"/>
    </row>
    <row r="18" spans="1:7" x14ac:dyDescent="0.25">
      <c r="A18" s="1"/>
      <c r="B18" s="49"/>
      <c r="C18" s="50"/>
      <c r="D18" s="51"/>
      <c r="E18" s="52"/>
      <c r="F18" s="51"/>
      <c r="G18" s="1"/>
    </row>
    <row r="19" spans="1:7" x14ac:dyDescent="0.25">
      <c r="A19" s="1"/>
      <c r="B19" s="53"/>
      <c r="C19" s="54"/>
      <c r="D19" s="55"/>
      <c r="E19" s="54"/>
      <c r="F19" s="55"/>
      <c r="G19" s="1"/>
    </row>
    <row r="20" spans="1:7" x14ac:dyDescent="0.25">
      <c r="A20" s="1"/>
      <c r="B20" s="53"/>
      <c r="C20" s="54"/>
      <c r="D20" s="55"/>
      <c r="E20" s="54"/>
      <c r="F20" s="55"/>
      <c r="G20" s="1"/>
    </row>
    <row r="21" spans="1:7" x14ac:dyDescent="0.25">
      <c r="A21" s="1"/>
      <c r="B21" s="46"/>
      <c r="C21" s="46"/>
      <c r="D21" s="46"/>
      <c r="E21" s="46"/>
      <c r="F21" s="46"/>
      <c r="G21" s="1"/>
    </row>
    <row r="22" spans="1:7" x14ac:dyDescent="0.25">
      <c r="A22" s="1"/>
      <c r="B22" s="47"/>
      <c r="C22" s="47"/>
      <c r="D22" s="47"/>
      <c r="E22" s="47"/>
      <c r="F22" s="48"/>
      <c r="G22" s="1"/>
    </row>
    <row r="23" spans="1:7" x14ac:dyDescent="0.25">
      <c r="A23" s="1"/>
      <c r="B23" s="49"/>
      <c r="C23" s="50"/>
      <c r="D23" s="51"/>
      <c r="E23" s="52"/>
      <c r="F23" s="51"/>
      <c r="G23" s="1"/>
    </row>
    <row r="24" spans="1:7" x14ac:dyDescent="0.25">
      <c r="A24" s="1"/>
      <c r="B24" s="49"/>
      <c r="C24" s="50"/>
      <c r="D24" s="51"/>
      <c r="E24" s="52"/>
      <c r="F24" s="51"/>
      <c r="G24" s="1"/>
    </row>
    <row r="25" spans="1:7" x14ac:dyDescent="0.25">
      <c r="A25" s="1"/>
      <c r="B25" s="53"/>
      <c r="C25" s="54"/>
      <c r="D25" s="55"/>
      <c r="E25" s="54"/>
      <c r="F25" s="55"/>
      <c r="G25" s="1"/>
    </row>
    <row r="26" spans="1:7" x14ac:dyDescent="0.25">
      <c r="A26" s="1"/>
      <c r="B26" s="53"/>
      <c r="C26" s="54"/>
      <c r="D26" s="55"/>
      <c r="E26" s="54"/>
      <c r="F26" s="55"/>
      <c r="G26" s="1"/>
    </row>
    <row r="27" spans="1:7" x14ac:dyDescent="0.25">
      <c r="A27" s="1"/>
      <c r="B27" s="46"/>
      <c r="C27" s="46"/>
      <c r="D27" s="46"/>
      <c r="E27" s="46"/>
      <c r="F27" s="46"/>
      <c r="G27" s="1"/>
    </row>
    <row r="28" spans="1:7" x14ac:dyDescent="0.25">
      <c r="A28" s="1"/>
      <c r="B28" s="127"/>
      <c r="C28" s="127"/>
      <c r="D28" s="127"/>
      <c r="E28" s="127"/>
      <c r="F28" s="127"/>
      <c r="G28" s="1"/>
    </row>
    <row r="29" spans="1:7" x14ac:dyDescent="0.25">
      <c r="A29" s="1"/>
      <c r="B29" s="47"/>
      <c r="C29" s="47"/>
      <c r="D29" s="47"/>
      <c r="E29" s="47"/>
      <c r="F29" s="48"/>
      <c r="G29" s="1"/>
    </row>
    <row r="30" spans="1:7" x14ac:dyDescent="0.25">
      <c r="A30" s="1"/>
      <c r="B30" s="49"/>
      <c r="C30" s="50"/>
      <c r="D30" s="51"/>
      <c r="E30" s="52"/>
      <c r="F30" s="51"/>
      <c r="G30" s="1"/>
    </row>
    <row r="31" spans="1:7" x14ac:dyDescent="0.25">
      <c r="A31" s="1"/>
      <c r="B31" s="49"/>
      <c r="C31" s="50"/>
      <c r="D31" s="51"/>
      <c r="E31" s="52"/>
      <c r="F31" s="51"/>
      <c r="G31" s="1"/>
    </row>
    <row r="32" spans="1:7" x14ac:dyDescent="0.25">
      <c r="A32" s="1"/>
      <c r="B32" s="53"/>
      <c r="C32" s="54"/>
      <c r="D32" s="55"/>
      <c r="E32" s="54"/>
      <c r="F32" s="55"/>
      <c r="G32" s="1"/>
    </row>
    <row r="33" spans="1:7" x14ac:dyDescent="0.25">
      <c r="A33" s="1"/>
      <c r="B33" s="53"/>
      <c r="C33" s="54"/>
      <c r="D33" s="55"/>
      <c r="E33" s="54"/>
      <c r="F33" s="55"/>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x14ac:dyDescent="0.25"/>
  </sheetData>
  <sheetProtection algorithmName="SHA-512" hashValue="upXFpk46pDkrd+/suTYd5gQv8taOkoWooaK+cv0p3MkrYl0KOrpvxc8d1L+WXoi0eWF4eDUYvjuZ2yJeVi4OOA==" saltValue="E206U4350O2jwO0TVevZSQ==" spinCount="100000" sheet="1" objects="1" scenarios="1"/>
  <mergeCells count="4">
    <mergeCell ref="B28:F28"/>
    <mergeCell ref="B3:F4"/>
    <mergeCell ref="B8:F8"/>
    <mergeCell ref="B15:F1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115</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8" t="s">
        <v>178</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6" t="s">
        <v>74</v>
      </c>
      <c r="C12" s="12">
        <f>SUM(C9:C11)*(1+'Fane 15. Nøgletal'!C9)^2</f>
        <v>0</v>
      </c>
      <c r="D12" s="13"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8" t="s">
        <v>178</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6" t="s">
        <v>85</v>
      </c>
      <c r="C18" s="12">
        <f>SUM(C15:C17)*(1+'Fane 15. Nøgletal'!C10)^3</f>
        <v>0</v>
      </c>
      <c r="D18" s="13" t="s">
        <v>3</v>
      </c>
      <c r="E18" s="1"/>
    </row>
    <row r="19" spans="1:5" x14ac:dyDescent="0.25">
      <c r="A19" s="1"/>
      <c r="B19" s="1"/>
      <c r="C19" s="1"/>
      <c r="D19" s="1"/>
      <c r="E19" s="1"/>
    </row>
    <row r="20" spans="1:5" ht="15" customHeight="1" x14ac:dyDescent="0.25">
      <c r="A20" s="1"/>
      <c r="B20" s="108" t="s">
        <v>139</v>
      </c>
      <c r="C20" s="109"/>
      <c r="D20" s="110"/>
      <c r="E20" s="1"/>
    </row>
    <row r="21" spans="1:5" x14ac:dyDescent="0.25">
      <c r="A21" s="1"/>
      <c r="B21" s="68" t="s">
        <v>178</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6" t="s">
        <v>140</v>
      </c>
      <c r="C24" s="12">
        <f>SUM(C21:C23)*(1+'Fane 15. Nøgletal'!C10)^4</f>
        <v>0</v>
      </c>
      <c r="D24" s="13" t="s">
        <v>3</v>
      </c>
      <c r="E24" s="1"/>
    </row>
    <row r="25" spans="1:5" x14ac:dyDescent="0.25">
      <c r="A25" s="1"/>
      <c r="B25" s="1"/>
      <c r="C25" s="1"/>
      <c r="D25" s="1"/>
      <c r="E25" s="1"/>
    </row>
    <row r="26" spans="1:5" ht="15" customHeight="1" x14ac:dyDescent="0.25">
      <c r="A26" s="1"/>
      <c r="B26" s="108" t="s">
        <v>179</v>
      </c>
      <c r="C26" s="109"/>
      <c r="D26" s="110"/>
      <c r="E26" s="1"/>
    </row>
    <row r="27" spans="1:5" ht="14.25" customHeight="1" x14ac:dyDescent="0.25">
      <c r="A27" s="1"/>
      <c r="B27" s="68" t="s">
        <v>178</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6" t="s">
        <v>180</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KbYa3YV0bhYOynCdMvM2kyJ3iHciudveZWlVaCaoW7Tw1/4R2dwz7+mBsTvdzRvANWTcClPOaza8OdjQ5IVaPA==" saltValue="B2GJMc7gEEiHo4eH9HxSeQ=="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116</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1" t="s">
        <v>67</v>
      </c>
      <c r="C9" s="27" t="s">
        <v>11</v>
      </c>
      <c r="D9" s="32"/>
      <c r="E9" s="27" t="s">
        <v>27</v>
      </c>
      <c r="F9" s="32"/>
      <c r="G9" s="1"/>
    </row>
    <row r="10" spans="1:7" ht="26.25" x14ac:dyDescent="0.25">
      <c r="A10" s="1"/>
      <c r="B10" s="70" t="s">
        <v>219</v>
      </c>
      <c r="C10" s="9">
        <v>0</v>
      </c>
      <c r="D10" s="14" t="s">
        <v>3</v>
      </c>
      <c r="E10" s="9">
        <v>0</v>
      </c>
      <c r="F10" s="14" t="s">
        <v>3</v>
      </c>
      <c r="G10" s="1"/>
    </row>
    <row r="11" spans="1:7" ht="28.5" customHeight="1" x14ac:dyDescent="0.25">
      <c r="A11" s="1"/>
      <c r="B11" s="20" t="s">
        <v>141</v>
      </c>
      <c r="C11" s="12">
        <f>SUM(C10:C10)</f>
        <v>0</v>
      </c>
      <c r="D11" s="13" t="s">
        <v>3</v>
      </c>
      <c r="E11" s="12">
        <f>SUM(E10:E10)</f>
        <v>0</v>
      </c>
      <c r="F11" s="13" t="s">
        <v>3</v>
      </c>
      <c r="G11" s="1"/>
    </row>
    <row r="12" spans="1:7" ht="27" customHeight="1" x14ac:dyDescent="0.25">
      <c r="A12" s="1"/>
      <c r="B12" s="20" t="s">
        <v>181</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vI0rTv40tRb9oKZcyTgeengD4Xn9XQtYm9r2DRGZE3ZHTYvu23fM9grjOItpyHPJMUZ4U15/YZxTq3j8XDOdvg==" saltValue="h7NMFzglLFw3XqyGAKtXM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117</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182</v>
      </c>
      <c r="C8" s="109"/>
      <c r="D8" s="109"/>
      <c r="E8" s="109"/>
      <c r="F8" s="110"/>
      <c r="G8" s="1"/>
    </row>
    <row r="9" spans="1:7" x14ac:dyDescent="0.25">
      <c r="A9" s="1"/>
      <c r="B9" s="31" t="s">
        <v>18</v>
      </c>
      <c r="C9" s="128" t="s">
        <v>11</v>
      </c>
      <c r="D9" s="129"/>
      <c r="E9" s="128" t="s">
        <v>27</v>
      </c>
      <c r="F9" s="129"/>
      <c r="G9" s="1"/>
    </row>
    <row r="10" spans="1:7" x14ac:dyDescent="0.25">
      <c r="A10" s="1"/>
      <c r="B10" s="70" t="s">
        <v>220</v>
      </c>
      <c r="C10" s="9">
        <v>0</v>
      </c>
      <c r="D10" s="14" t="s">
        <v>3</v>
      </c>
      <c r="E10" s="9">
        <v>0</v>
      </c>
      <c r="F10" s="14" t="s">
        <v>3</v>
      </c>
      <c r="G10" s="1"/>
    </row>
    <row r="11" spans="1:7" x14ac:dyDescent="0.25">
      <c r="A11" s="1"/>
      <c r="B11" s="33" t="s">
        <v>142</v>
      </c>
      <c r="C11" s="12">
        <f>SUM(C10:C10)</f>
        <v>0</v>
      </c>
      <c r="D11" s="13" t="s">
        <v>3</v>
      </c>
      <c r="E11" s="12">
        <f>SUM(E10:E10)</f>
        <v>0</v>
      </c>
      <c r="F11" s="13" t="s">
        <v>3</v>
      </c>
      <c r="G11" s="1"/>
    </row>
    <row r="12" spans="1:7" x14ac:dyDescent="0.25">
      <c r="A12" s="1"/>
      <c r="B12" s="33" t="s">
        <v>213</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7"/>
      <c r="C21" s="127"/>
      <c r="D21" s="127"/>
      <c r="E21" s="127"/>
      <c r="F21" s="127"/>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7"/>
      <c r="C27" s="127"/>
      <c r="D27" s="127"/>
      <c r="E27" s="127"/>
      <c r="F27" s="127"/>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7qgqsOvydJPUg0CQl4YHb5FtgZ+f8vIDvtmKl+44fzzpThFHeRzh1CqhlMREeuD2lB4/GHKMF6h9SYZ4mEHdjw==" saltValue="SuEl/+56yiyRrlfwVTvizQ=="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154</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73133899.920089647</v>
      </c>
      <c r="D9" s="8" t="s">
        <v>3</v>
      </c>
      <c r="E9" s="1"/>
    </row>
    <row r="10" spans="1:5" ht="17.25" customHeight="1" x14ac:dyDescent="0.25">
      <c r="A10" s="1"/>
      <c r="B10" s="64" t="s">
        <v>35</v>
      </c>
      <c r="C10" s="7">
        <f>'Fane 11.1. Varige tillæg'!C20</f>
        <v>556131.35610900004</v>
      </c>
      <c r="D10" s="8" t="s">
        <v>3</v>
      </c>
      <c r="E10" s="1"/>
    </row>
    <row r="11" spans="1:5" ht="17.25" customHeight="1" x14ac:dyDescent="0.25">
      <c r="A11" s="1"/>
      <c r="B11" s="64" t="s">
        <v>36</v>
      </c>
      <c r="C11" s="9">
        <f>'Fane 11.1. Varige tillæg'!E20</f>
        <v>1170788.8411653335</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6023713.9226225317</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-533306.12670290284</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80351227.913283601</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2532012.0921933921</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Engangstillæg'!C13</f>
        <v>781807.33240952005</v>
      </c>
      <c r="D26" s="8" t="s">
        <v>3</v>
      </c>
      <c r="E26" s="1"/>
    </row>
    <row r="27" spans="1:5" ht="15" customHeight="1" x14ac:dyDescent="0.25">
      <c r="A27" s="1"/>
      <c r="B27" s="64" t="s">
        <v>38</v>
      </c>
      <c r="C27" s="38">
        <f>'Fane 11.2. Engangstillæg'!E13</f>
        <v>0</v>
      </c>
      <c r="D27" s="8" t="s">
        <v>3</v>
      </c>
      <c r="E27" s="1"/>
    </row>
    <row r="28" spans="1:5" ht="15" customHeight="1" x14ac:dyDescent="0.25">
      <c r="A28" s="1"/>
      <c r="B28" s="64" t="s">
        <v>92</v>
      </c>
      <c r="C28" s="38">
        <f>-C26*('Fane 15. Nøgletal'!C21+'Fane 5. Individuelt eff. krav'!C9)</f>
        <v>-15636.146648190401</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766171.1857613296</v>
      </c>
      <c r="D30" s="11" t="s">
        <v>3</v>
      </c>
      <c r="E30" s="1"/>
    </row>
    <row r="31" spans="1:5" x14ac:dyDescent="0.25">
      <c r="A31" s="1"/>
      <c r="B31" s="33" t="s">
        <v>69</v>
      </c>
      <c r="C31" s="28"/>
      <c r="D31" s="19"/>
      <c r="E31" s="1"/>
    </row>
    <row r="32" spans="1:5" x14ac:dyDescent="0.25">
      <c r="A32" s="1"/>
      <c r="B32" s="31" t="s">
        <v>79</v>
      </c>
      <c r="C32" s="62">
        <f>'Fane 7. Kontrol af ØR2023'!C27</f>
        <v>-3332080.5</v>
      </c>
      <c r="D32" s="11" t="s">
        <v>3</v>
      </c>
      <c r="E32" s="1"/>
    </row>
    <row r="33" spans="1:5" ht="15" customHeight="1" x14ac:dyDescent="0.25">
      <c r="A33" s="1"/>
      <c r="B33" s="33" t="s">
        <v>153</v>
      </c>
      <c r="C33" s="28"/>
      <c r="D33" s="19"/>
      <c r="E33" s="1"/>
    </row>
    <row r="34" spans="1:5" x14ac:dyDescent="0.25">
      <c r="A34" s="1"/>
      <c r="B34" s="31" t="s">
        <v>153</v>
      </c>
      <c r="C34" s="10">
        <f>'Fane 9. Korrektion af ØR2023'!C16</f>
        <v>731410.24132523499</v>
      </c>
      <c r="D34" s="11" t="s">
        <v>3</v>
      </c>
      <c r="E34" s="1"/>
    </row>
    <row r="35" spans="1:5" x14ac:dyDescent="0.25">
      <c r="A35" s="1"/>
      <c r="B35" s="30" t="s">
        <v>75</v>
      </c>
      <c r="C35" s="28"/>
      <c r="D35" s="19"/>
      <c r="E35" s="1"/>
    </row>
    <row r="36" spans="1:5" x14ac:dyDescent="0.25">
      <c r="A36" s="1"/>
      <c r="B36" s="67" t="s">
        <v>76</v>
      </c>
      <c r="C36" s="10">
        <f>'Fane 8. Skattesagen'!C13</f>
        <v>-1662069</v>
      </c>
      <c r="D36" s="11" t="s">
        <v>3</v>
      </c>
      <c r="E36" s="1"/>
    </row>
    <row r="37" spans="1:5" x14ac:dyDescent="0.25">
      <c r="A37" s="1"/>
      <c r="B37" s="30" t="s">
        <v>245</v>
      </c>
      <c r="C37" s="28"/>
      <c r="D37" s="19"/>
      <c r="E37" s="1"/>
    </row>
    <row r="38" spans="1:5" x14ac:dyDescent="0.25">
      <c r="A38" s="1"/>
      <c r="B38" s="67" t="s">
        <v>246</v>
      </c>
      <c r="C38" s="10">
        <v>1377448.0971290206</v>
      </c>
      <c r="D38" s="11" t="s">
        <v>3</v>
      </c>
      <c r="E38" s="1"/>
    </row>
    <row r="39" spans="1:5" x14ac:dyDescent="0.25">
      <c r="A39" s="1"/>
      <c r="B39" s="33" t="s">
        <v>71</v>
      </c>
      <c r="C39" s="45">
        <f>SUM(C34,C32,C24,C30,C22,C20,C36,C38)</f>
        <v>80764120.029692575</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Or7V2yPU/inm5HzEdrc7uF4a33YHYT8wjc4lVmnZl1Kdg2ocx1dr6/dI2QRWQsub6xTbDpqt19vv+w/nXdWAA==" saltValue="kvpZwHxQzzfC6l73ACTWj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118</v>
      </c>
      <c r="C3" s="106"/>
      <c r="D3" s="1"/>
    </row>
    <row r="4" spans="1:4" ht="15" customHeight="1" x14ac:dyDescent="0.25">
      <c r="A4" s="1"/>
      <c r="B4" s="106"/>
      <c r="C4" s="106"/>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121</v>
      </c>
      <c r="C9" s="61">
        <v>8.0799999999999997E-2</v>
      </c>
      <c r="D9" s="1"/>
    </row>
    <row r="10" spans="1:4" x14ac:dyDescent="0.25">
      <c r="A10" s="1"/>
      <c r="B10" s="59" t="s">
        <v>229</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212</v>
      </c>
      <c r="C15" s="60">
        <v>0</v>
      </c>
      <c r="D15" s="1"/>
    </row>
    <row r="16" spans="1:4" x14ac:dyDescent="0.25">
      <c r="A16" s="1"/>
      <c r="B16" s="59" t="s">
        <v>230</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oJY+pA0dFT6hFEahtCKG5704RgPd7qm58Oncwk5NkKoz820xJXMqH/lgx7gjkF7SUPazMxNkacF/w739Pe8B3Q==" saltValue="blzr1hX7YvyitxG+qDeDz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05" t="s">
        <v>143</v>
      </c>
      <c r="C5" s="105"/>
      <c r="D5" s="10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80351227.913283601</v>
      </c>
      <c r="D9" s="8" t="s">
        <v>3</v>
      </c>
      <c r="E9" s="1"/>
    </row>
    <row r="10" spans="1:5" ht="15" customHeight="1" x14ac:dyDescent="0.25">
      <c r="A10" s="1"/>
      <c r="B10" s="26" t="s">
        <v>19</v>
      </c>
      <c r="C10" s="7">
        <f>C9*'Fane 15. Nøgletal'!C10</f>
        <v>5327286.4106507022</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-557291.03644523933</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85121223.287489057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2670090.6607058137</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-4119014.1932363808</v>
      </c>
      <c r="D20" s="11" t="s">
        <v>3</v>
      </c>
      <c r="E20" s="1"/>
    </row>
    <row r="21" spans="1:5" x14ac:dyDescent="0.25">
      <c r="A21" s="1"/>
      <c r="B21" s="30" t="s">
        <v>75</v>
      </c>
      <c r="C21" s="28"/>
      <c r="D21" s="19"/>
      <c r="E21" s="1"/>
    </row>
    <row r="22" spans="1:5" x14ac:dyDescent="0.25">
      <c r="A22" s="1"/>
      <c r="B22" s="67" t="s">
        <v>76</v>
      </c>
      <c r="C22" s="10">
        <f>'Fane 8. Skattesagen'!C14</f>
        <v>-1662069</v>
      </c>
      <c r="D22" s="11" t="s">
        <v>3</v>
      </c>
      <c r="E22" s="1"/>
    </row>
    <row r="23" spans="1:5" x14ac:dyDescent="0.25">
      <c r="A23" s="1"/>
      <c r="B23" s="33" t="s">
        <v>81</v>
      </c>
      <c r="C23" s="12">
        <f>SUM(C14,C16,C18,C20,C22)</f>
        <v>82010230.754958495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8r6V9D16jyMuNybGR8cfxa/Py3QNwknjXINQyiPWAqXIDnzZPESLoaTEHI1vliD/RyTdSbfJnAXmbJJ9wlv4nw==" saltValue="j+EGRpW/pp9o/+rh7pX5b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143</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128</v>
      </c>
      <c r="C9" s="7">
        <f>'Fane 2.2. Økonomisk ramme 2026'!C14</f>
        <v>85121223.287489057</v>
      </c>
      <c r="D9" s="8" t="s">
        <v>3</v>
      </c>
      <c r="E9" s="1"/>
    </row>
    <row r="10" spans="1:5" ht="15" customHeight="1" x14ac:dyDescent="0.25">
      <c r="A10" s="1"/>
      <c r="B10" s="26" t="s">
        <v>19</v>
      </c>
      <c r="C10" s="7">
        <f>SUM(C9:C9)*'Fane 15. Nøgletal'!C10</f>
        <v>5643537.1039605243</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-582354.6435183275</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90182405.747931257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2817324.9046106092</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-4119014.1932363808</v>
      </c>
      <c r="D20" s="11" t="s">
        <v>3</v>
      </c>
      <c r="E20" s="1"/>
    </row>
    <row r="21" spans="1:5" x14ac:dyDescent="0.25">
      <c r="A21" s="1"/>
      <c r="B21" s="30" t="s">
        <v>75</v>
      </c>
      <c r="C21" s="28"/>
      <c r="D21" s="19"/>
      <c r="E21" s="1"/>
    </row>
    <row r="22" spans="1:5" x14ac:dyDescent="0.25">
      <c r="A22" s="1"/>
      <c r="B22" s="67" t="s">
        <v>76</v>
      </c>
      <c r="C22" s="10">
        <f>'Fane 8. Skattesagen'!C15</f>
        <v>-1662069</v>
      </c>
      <c r="D22" s="11" t="s">
        <v>3</v>
      </c>
      <c r="E22" s="1"/>
    </row>
    <row r="23" spans="1:5" x14ac:dyDescent="0.25">
      <c r="A23" s="1"/>
      <c r="B23" s="33" t="s">
        <v>129</v>
      </c>
      <c r="C23" s="12">
        <f>SUM(C14,C16,C18,C20,C22)</f>
        <v>87218647.45930548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YCJuyaDb/1aU6pAC6zqIdQlKgLmJ9SrRjoXVC+2O3NmIDBxnwuL8BZQHkCg2ZT50o0CPwRnPAkNuiWwtnSBH4A==" saltValue="4F0/Adk6Jp8NqSD6erx1v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157</v>
      </c>
      <c r="C3" s="104"/>
      <c r="D3" s="104"/>
      <c r="E3" s="1"/>
    </row>
    <row r="4" spans="1:5" ht="15" customHeight="1" x14ac:dyDescent="0.25">
      <c r="A4" s="1"/>
      <c r="B4" s="104"/>
      <c r="C4" s="104"/>
      <c r="D4" s="104"/>
      <c r="E4" s="1"/>
    </row>
    <row r="5" spans="1:5" x14ac:dyDescent="0.25">
      <c r="A5" s="1"/>
      <c r="B5" s="105" t="s">
        <v>143</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158</v>
      </c>
      <c r="C9" s="7">
        <f>'Fane 2.3. Økonomisk ramme 2027'!C14</f>
        <v>90182405.747931257</v>
      </c>
      <c r="D9" s="8" t="s">
        <v>3</v>
      </c>
      <c r="E9" s="1"/>
    </row>
    <row r="10" spans="1:5" ht="15" customHeight="1" x14ac:dyDescent="0.25">
      <c r="A10" s="1"/>
      <c r="B10" s="26" t="s">
        <v>19</v>
      </c>
      <c r="C10" s="7">
        <f>SUM(C9:C9)*'Fane 15. Nøgletal'!C10</f>
        <v>5979093.5010878425</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-608545.46125592082</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95552953.787763178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2524957.7788862926</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Skattesagen'!C16</f>
        <v>-1662069</v>
      </c>
      <c r="D20" s="11" t="s">
        <v>3</v>
      </c>
      <c r="E20" s="1"/>
    </row>
    <row r="21" spans="1:5" x14ac:dyDescent="0.25">
      <c r="A21" s="1"/>
      <c r="B21" s="33" t="s">
        <v>159</v>
      </c>
      <c r="C21" s="12">
        <f>SUM(C14,C16,C18,C20)</f>
        <v>96415842.566649467</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kwyosyUdJht/CDM7Oy+W29zJZcsVrmGM3z+zK1wUDU9iGOIYXlHJ/L0kTbyXOMhEHOzr7HB7nCb/APvnEFlAqA==" saltValue="cWtI0OaSWlRAMunyXX8I2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6" t="s">
        <v>160</v>
      </c>
      <c r="C3" s="106"/>
      <c r="D3" s="106"/>
      <c r="E3" s="1"/>
    </row>
    <row r="4" spans="1:5" ht="15" customHeight="1" x14ac:dyDescent="0.25">
      <c r="A4" s="1"/>
      <c r="B4" s="106"/>
      <c r="C4" s="106"/>
      <c r="D4" s="106"/>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161</v>
      </c>
      <c r="C8" s="28"/>
      <c r="D8" s="19"/>
      <c r="E8" s="1"/>
    </row>
    <row r="9" spans="1:5" ht="15" customHeight="1" x14ac:dyDescent="0.25">
      <c r="A9" s="1"/>
      <c r="B9" s="29" t="s">
        <v>64</v>
      </c>
      <c r="C9" s="7">
        <v>66066851.992591612</v>
      </c>
      <c r="D9" s="8" t="s">
        <v>3</v>
      </c>
      <c r="E9" s="1"/>
    </row>
    <row r="10" spans="1:5" ht="15" customHeight="1" x14ac:dyDescent="0.25">
      <c r="A10" s="1"/>
      <c r="B10" s="64" t="s">
        <v>35</v>
      </c>
      <c r="C10" s="7">
        <v>472743.00079999998</v>
      </c>
      <c r="D10" s="8" t="s">
        <v>3</v>
      </c>
      <c r="E10" s="1"/>
    </row>
    <row r="11" spans="1:5" ht="15" customHeight="1" x14ac:dyDescent="0.25">
      <c r="A11" s="1"/>
      <c r="B11" s="64" t="s">
        <v>36</v>
      </c>
      <c r="C11" s="9">
        <v>1582360.187464</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5504253.9786131335</v>
      </c>
      <c r="D16" s="8" t="s">
        <v>3</v>
      </c>
      <c r="E16" s="1"/>
    </row>
    <row r="17" spans="1:5" ht="15" customHeight="1" x14ac:dyDescent="0.25">
      <c r="A17" s="1"/>
      <c r="B17" s="64" t="s">
        <v>10</v>
      </c>
      <c r="C17" s="38">
        <v>0</v>
      </c>
      <c r="D17" s="8" t="s">
        <v>3</v>
      </c>
      <c r="E17" s="1"/>
    </row>
    <row r="18" spans="1:5" ht="15" customHeight="1" x14ac:dyDescent="0.25">
      <c r="A18" s="1"/>
      <c r="B18" s="64" t="s">
        <v>22</v>
      </c>
      <c r="C18" s="38">
        <v>-492309.23937910917</v>
      </c>
      <c r="D18" s="8" t="s">
        <v>3</v>
      </c>
      <c r="E18" s="1"/>
    </row>
    <row r="19" spans="1:5" ht="15" customHeight="1" x14ac:dyDescent="0.25">
      <c r="A19" s="1"/>
      <c r="B19" s="64" t="s">
        <v>23</v>
      </c>
      <c r="C19" s="38">
        <v>0</v>
      </c>
      <c r="D19" s="8" t="s">
        <v>3</v>
      </c>
      <c r="E19" s="43"/>
    </row>
    <row r="20" spans="1:5" ht="15" customHeight="1" x14ac:dyDescent="0.25">
      <c r="A20" s="1"/>
      <c r="B20" s="82" t="s">
        <v>21</v>
      </c>
      <c r="C20" s="10">
        <v>73133899.920089647</v>
      </c>
      <c r="D20" s="11" t="s">
        <v>3</v>
      </c>
      <c r="E20" s="1"/>
    </row>
    <row r="21" spans="1:5" ht="15" customHeight="1" x14ac:dyDescent="0.25">
      <c r="A21" s="1"/>
      <c r="B21" s="33" t="s">
        <v>12</v>
      </c>
      <c r="C21" s="28"/>
      <c r="D21" s="19"/>
      <c r="E21" s="1"/>
    </row>
    <row r="22" spans="1:5" ht="15" customHeight="1" x14ac:dyDescent="0.25">
      <c r="A22" s="1"/>
      <c r="B22" s="31" t="s">
        <v>12</v>
      </c>
      <c r="C22" s="10">
        <v>2367219.79559616</v>
      </c>
      <c r="D22" s="11" t="s">
        <v>3</v>
      </c>
      <c r="E22" s="1"/>
    </row>
    <row r="23" spans="1:5" ht="15" customHeight="1" x14ac:dyDescent="0.25">
      <c r="A23" s="1"/>
      <c r="B23" s="33" t="s">
        <v>42</v>
      </c>
      <c r="C23" s="28"/>
      <c r="D23" s="19"/>
      <c r="E23" s="1"/>
    </row>
    <row r="24" spans="1:5" ht="15" customHeight="1" x14ac:dyDescent="0.25">
      <c r="A24" s="1"/>
      <c r="B24" s="82" t="s">
        <v>42</v>
      </c>
      <c r="C24" s="10">
        <v>124216.64281454319</v>
      </c>
      <c r="D24" s="11" t="s">
        <v>3</v>
      </c>
      <c r="E24" s="1"/>
    </row>
    <row r="25" spans="1:5" x14ac:dyDescent="0.25">
      <c r="A25" s="1"/>
      <c r="B25" s="41" t="s">
        <v>41</v>
      </c>
      <c r="C25" s="39"/>
      <c r="D25" s="40"/>
      <c r="E25" s="1"/>
    </row>
    <row r="26" spans="1:5" ht="15" customHeight="1" x14ac:dyDescent="0.25">
      <c r="A26" s="1"/>
      <c r="B26" s="64" t="s">
        <v>89</v>
      </c>
      <c r="C26" s="38">
        <v>0</v>
      </c>
      <c r="D26" s="8" t="s">
        <v>3</v>
      </c>
      <c r="E26" s="1"/>
    </row>
    <row r="27" spans="1:5" ht="15" customHeight="1" x14ac:dyDescent="0.25">
      <c r="A27" s="1"/>
      <c r="B27" s="64" t="s">
        <v>38</v>
      </c>
      <c r="C27" s="38">
        <v>0</v>
      </c>
      <c r="D27" s="8" t="s">
        <v>3</v>
      </c>
      <c r="E27" s="1"/>
    </row>
    <row r="28" spans="1:5" ht="15" customHeight="1" x14ac:dyDescent="0.25">
      <c r="A28" s="1"/>
      <c r="B28" s="64" t="s">
        <v>92</v>
      </c>
      <c r="C28" s="38">
        <v>0</v>
      </c>
      <c r="D28" s="8" t="s">
        <v>3</v>
      </c>
      <c r="E28" s="1"/>
    </row>
    <row r="29" spans="1:5" ht="15" customHeight="1" x14ac:dyDescent="0.25">
      <c r="A29" s="1"/>
      <c r="B29" s="64" t="s">
        <v>93</v>
      </c>
      <c r="C29" s="38">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-3332080.5</v>
      </c>
      <c r="D32" s="11" t="s">
        <v>3</v>
      </c>
      <c r="E32" s="1"/>
    </row>
    <row r="33" spans="1:5" x14ac:dyDescent="0.25">
      <c r="A33" s="1"/>
      <c r="B33" s="33" t="s">
        <v>127</v>
      </c>
      <c r="C33" s="28"/>
      <c r="D33" s="19"/>
      <c r="E33" s="1"/>
    </row>
    <row r="34" spans="1:5" ht="15.4" customHeight="1" x14ac:dyDescent="0.25">
      <c r="A34" s="1"/>
      <c r="B34" s="31" t="s">
        <v>127</v>
      </c>
      <c r="C34" s="10">
        <v>0</v>
      </c>
      <c r="D34" s="11" t="s">
        <v>3</v>
      </c>
      <c r="E34" s="1"/>
    </row>
    <row r="35" spans="1:5" ht="15.4" customHeight="1" x14ac:dyDescent="0.25">
      <c r="A35" s="1"/>
      <c r="B35" s="30" t="s">
        <v>75</v>
      </c>
      <c r="C35" s="28"/>
      <c r="D35" s="19"/>
      <c r="E35" s="1"/>
    </row>
    <row r="36" spans="1:5" x14ac:dyDescent="0.25">
      <c r="A36" s="1"/>
      <c r="B36" s="67" t="s">
        <v>76</v>
      </c>
      <c r="C36" s="10">
        <v>-1662069</v>
      </c>
      <c r="D36" s="11" t="s">
        <v>3</v>
      </c>
      <c r="E36" s="1"/>
    </row>
    <row r="37" spans="1:5" x14ac:dyDescent="0.25">
      <c r="A37" s="1"/>
      <c r="B37" s="33" t="s">
        <v>65</v>
      </c>
      <c r="C37" s="45">
        <v>70631186.858500347</v>
      </c>
      <c r="D37" s="30" t="s">
        <v>3</v>
      </c>
      <c r="E37" s="1"/>
    </row>
    <row r="38" spans="1:5" ht="30" customHeight="1" x14ac:dyDescent="0.25">
      <c r="A38" s="1"/>
      <c r="B38" s="107" t="s">
        <v>228</v>
      </c>
      <c r="C38" s="107"/>
      <c r="D38" s="107"/>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Yc0BRnSjk4ez8vZ5WSvcAnqeDU6FlpPGA5tlPl33CRGpX3ex5PnyhX7Ah0Euh9JZcbqPhilSYjzv/LhjhGOOJg==" saltValue="il4fq7Ei6KKLyFTlqRI44Q=="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6" t="s">
        <v>56</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5"/>
      <c r="C6" s="75"/>
      <c r="D6" s="75"/>
      <c r="E6" s="1"/>
    </row>
    <row r="7" spans="1:5" x14ac:dyDescent="0.25">
      <c r="A7" s="1"/>
      <c r="B7" s="1"/>
      <c r="C7" s="1"/>
      <c r="D7" s="1"/>
      <c r="E7" s="1"/>
    </row>
    <row r="8" spans="1:5" x14ac:dyDescent="0.25">
      <c r="A8" s="1"/>
      <c r="B8" s="108" t="s">
        <v>122</v>
      </c>
      <c r="C8" s="109"/>
      <c r="D8" s="110"/>
      <c r="E8" s="1"/>
    </row>
    <row r="9" spans="1:5" x14ac:dyDescent="0.25">
      <c r="A9" s="1"/>
      <c r="B9" s="65" t="s">
        <v>88</v>
      </c>
      <c r="C9" s="23">
        <v>24104521.333690815</v>
      </c>
      <c r="D9" s="14" t="s">
        <v>3</v>
      </c>
      <c r="E9" s="1"/>
    </row>
    <row r="10" spans="1:5" x14ac:dyDescent="0.25">
      <c r="A10" s="1"/>
      <c r="B10" s="65" t="s">
        <v>124</v>
      </c>
      <c r="C10" s="23">
        <f>('Fane 3. Omkostninger i ØR2024'!C10+'Fane 3. Omkostninger i ØR2024'!C12+'Fane 3. Omkostninger i ØR2024'!C14)*(1+'Fane 15. Nøgletal'!C9)</f>
        <v>510940.63526463998</v>
      </c>
      <c r="D10" s="14" t="s">
        <v>3</v>
      </c>
      <c r="E10" s="1"/>
    </row>
    <row r="11" spans="1:5" x14ac:dyDescent="0.25">
      <c r="A11" s="1"/>
      <c r="B11" s="65" t="s">
        <v>130</v>
      </c>
      <c r="C11" s="23">
        <f>C9*'Fane 15. Nøgletal'!C21+C10*'Fane 15. Nøgletal'!C21</f>
        <v>492309.23937910906</v>
      </c>
      <c r="D11" s="14" t="s">
        <v>3</v>
      </c>
      <c r="E11" s="1"/>
    </row>
    <row r="12" spans="1:5" x14ac:dyDescent="0.25">
      <c r="A12" s="1"/>
      <c r="B12" s="33"/>
      <c r="C12" s="28"/>
      <c r="D12" s="19"/>
      <c r="E12" s="1"/>
    </row>
    <row r="13" spans="1:5" x14ac:dyDescent="0.25">
      <c r="A13" s="1"/>
      <c r="B13" s="1"/>
      <c r="C13" s="1"/>
      <c r="D13" s="1"/>
      <c r="E13" s="1"/>
    </row>
    <row r="14" spans="1:5" x14ac:dyDescent="0.25">
      <c r="A14" s="1"/>
      <c r="B14" s="108" t="s">
        <v>123</v>
      </c>
      <c r="C14" s="109"/>
      <c r="D14" s="110"/>
      <c r="E14" s="1"/>
    </row>
    <row r="15" spans="1:5" x14ac:dyDescent="0.25">
      <c r="A15" s="1"/>
      <c r="B15" s="65" t="s">
        <v>132</v>
      </c>
      <c r="C15" s="23">
        <f>(C9+C10-C11)*(1+'Fane 15. Nøgletal'!C9)</f>
        <v>26072303.470126115</v>
      </c>
      <c r="D15" s="14" t="s">
        <v>3</v>
      </c>
      <c r="E15" s="1"/>
    </row>
    <row r="16" spans="1:5" x14ac:dyDescent="0.25">
      <c r="A16" s="1"/>
      <c r="B16" s="65" t="s">
        <v>183</v>
      </c>
      <c r="C16" s="23">
        <f>('Fane 2.1. Økonomisk ramme 2025'!C10+'Fane 2.1. Økonomisk ramme 2025'!C12+'Fane 2.1. Økonomisk ramme 2025'!C14)*(1+'Fane 15. Nøgletal'!C10)</f>
        <v>593002.86501902679</v>
      </c>
      <c r="D16" s="14" t="s">
        <v>3</v>
      </c>
      <c r="E16" s="1"/>
    </row>
    <row r="17" spans="1:5" x14ac:dyDescent="0.25">
      <c r="A17" s="1"/>
      <c r="B17" s="65" t="s">
        <v>131</v>
      </c>
      <c r="C17" s="23">
        <f>C15*'Fane 15. Nøgletal'!C21+C16*'Fane 15. Nøgletal'!C21</f>
        <v>533306.12670290284</v>
      </c>
      <c r="D17" s="14" t="s">
        <v>3</v>
      </c>
      <c r="E17" s="1"/>
    </row>
    <row r="18" spans="1:5" x14ac:dyDescent="0.25">
      <c r="A18" s="1"/>
      <c r="B18" s="33"/>
      <c r="C18" s="28"/>
      <c r="D18" s="19"/>
      <c r="E18" s="1"/>
    </row>
    <row r="19" spans="1:5" x14ac:dyDescent="0.25">
      <c r="A19" s="1"/>
      <c r="B19" s="1"/>
      <c r="C19" s="63"/>
      <c r="D19" s="1"/>
      <c r="E19" s="1"/>
    </row>
    <row r="20" spans="1:5" x14ac:dyDescent="0.25">
      <c r="A20" s="1"/>
      <c r="B20" s="108" t="s">
        <v>144</v>
      </c>
      <c r="C20" s="109"/>
      <c r="D20" s="110"/>
      <c r="E20" s="1"/>
    </row>
    <row r="21" spans="1:5" x14ac:dyDescent="0.25">
      <c r="A21" s="1"/>
      <c r="B21" s="65" t="s">
        <v>188</v>
      </c>
      <c r="C21" s="23">
        <f>(C15+C16-C17)*(1+'Fane 15. Nøgletal'!C10)</f>
        <v>27864551.822261963</v>
      </c>
      <c r="D21" s="14" t="s">
        <v>3</v>
      </c>
      <c r="E21" s="1"/>
    </row>
    <row r="22" spans="1:5" x14ac:dyDescent="0.25">
      <c r="A22" s="1"/>
      <c r="B22" s="65" t="s">
        <v>195</v>
      </c>
      <c r="C22" s="23">
        <f>C21*'Fane 15. Nøgletal'!C21</f>
        <v>557291.03644523933</v>
      </c>
      <c r="D22" s="14" t="s">
        <v>3</v>
      </c>
      <c r="E22" s="1"/>
    </row>
    <row r="23" spans="1:5" x14ac:dyDescent="0.25">
      <c r="A23" s="1"/>
      <c r="B23" s="33"/>
      <c r="C23" s="28"/>
      <c r="D23" s="19"/>
      <c r="E23" s="1"/>
    </row>
    <row r="24" spans="1:5" x14ac:dyDescent="0.25">
      <c r="A24" s="1"/>
      <c r="B24" s="1"/>
      <c r="C24" s="1"/>
      <c r="D24" s="1"/>
      <c r="E24" s="1"/>
    </row>
    <row r="25" spans="1:5" x14ac:dyDescent="0.25">
      <c r="A25" s="1"/>
      <c r="B25" s="108" t="s">
        <v>186</v>
      </c>
      <c r="C25" s="109"/>
      <c r="D25" s="110"/>
      <c r="E25" s="1"/>
    </row>
    <row r="26" spans="1:5" x14ac:dyDescent="0.25">
      <c r="A26" s="1"/>
      <c r="B26" s="65" t="s">
        <v>189</v>
      </c>
      <c r="C26" s="23">
        <f>(C21-C22)*(1+'Fane 15. Nøgletal'!C10)</f>
        <v>29117732.175916374</v>
      </c>
      <c r="D26" s="14" t="s">
        <v>3</v>
      </c>
      <c r="E26" s="1"/>
    </row>
    <row r="27" spans="1:5" x14ac:dyDescent="0.25">
      <c r="A27" s="1"/>
      <c r="B27" s="65" t="s">
        <v>193</v>
      </c>
      <c r="C27" s="23">
        <f>C26*'Fane 15. Nøgletal'!C21</f>
        <v>582354.6435183275</v>
      </c>
      <c r="D27" s="14" t="s">
        <v>3</v>
      </c>
      <c r="E27" s="1"/>
    </row>
    <row r="28" spans="1:5" x14ac:dyDescent="0.25">
      <c r="A28" s="1"/>
      <c r="B28" s="33"/>
      <c r="C28" s="28"/>
      <c r="D28" s="19"/>
      <c r="E28" s="1"/>
    </row>
    <row r="29" spans="1:5" x14ac:dyDescent="0.25">
      <c r="A29" s="1"/>
      <c r="B29" s="1"/>
      <c r="C29" s="1"/>
      <c r="D29" s="1"/>
      <c r="E29" s="1"/>
    </row>
    <row r="30" spans="1:5" x14ac:dyDescent="0.25">
      <c r="A30" s="1"/>
      <c r="B30" s="108" t="s">
        <v>187</v>
      </c>
      <c r="C30" s="109"/>
      <c r="D30" s="110"/>
      <c r="E30" s="1"/>
    </row>
    <row r="31" spans="1:5" x14ac:dyDescent="0.25">
      <c r="A31" s="1"/>
      <c r="B31" s="65" t="s">
        <v>190</v>
      </c>
      <c r="C31" s="23">
        <f>(C26-C27)*(1+'Fane 15. Nøgletal'!C10)</f>
        <v>30427273.062796038</v>
      </c>
      <c r="D31" s="14" t="s">
        <v>3</v>
      </c>
      <c r="E31" s="1"/>
    </row>
    <row r="32" spans="1:5" x14ac:dyDescent="0.25">
      <c r="A32" s="1"/>
      <c r="B32" s="65" t="s">
        <v>194</v>
      </c>
      <c r="C32" s="23">
        <f>C31*'Fane 15. Nøgletal'!C21</f>
        <v>608545.46125592082</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rabmSMRZWAZ4TKHwePl+qXP+JjPgLOwKeJIryEzjhbDl4ryhmfi4gwW9S6Mx1/M9NkhzEvN8FgDJxGCsMEUTlA==" saltValue="CCQ2d4/4vmQZsLiEbKl0YQ=="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9"/>
      <c r="C6" s="69"/>
      <c r="D6" s="69"/>
      <c r="E6" s="1"/>
    </row>
    <row r="7" spans="1:5" x14ac:dyDescent="0.25">
      <c r="A7" s="1"/>
      <c r="B7" s="1"/>
      <c r="C7" s="1"/>
      <c r="D7" s="1"/>
      <c r="E7" s="1"/>
    </row>
    <row r="8" spans="1:5" x14ac:dyDescent="0.25">
      <c r="A8" s="1"/>
      <c r="B8" s="108" t="s">
        <v>146</v>
      </c>
      <c r="C8" s="109"/>
      <c r="D8" s="110"/>
      <c r="E8" s="1"/>
    </row>
    <row r="9" spans="1:5" x14ac:dyDescent="0.25">
      <c r="A9" s="1"/>
      <c r="B9" s="65" t="s">
        <v>133</v>
      </c>
      <c r="C9" s="23">
        <v>50350097.102910787</v>
      </c>
      <c r="D9" s="14" t="s">
        <v>3</v>
      </c>
      <c r="E9" s="1"/>
    </row>
    <row r="10" spans="1:5" x14ac:dyDescent="0.25">
      <c r="A10" s="1"/>
      <c r="B10" s="65" t="s">
        <v>125</v>
      </c>
      <c r="C10" s="23">
        <f>('Fane 3. Omkostninger i ØR2024'!C11+'Fane 3. Omkostninger i ØR2024'!C13+'Fane 3. Omkostninger i ØR2024'!C15)*(1+'Fane 15. Nøgletal'!C9)</f>
        <v>1710214.8906110912</v>
      </c>
      <c r="D10" s="14" t="s">
        <v>3</v>
      </c>
      <c r="E10" s="1"/>
    </row>
    <row r="11" spans="1:5" x14ac:dyDescent="0.25">
      <c r="A11" s="1"/>
      <c r="B11" s="65" t="s">
        <v>134</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8" t="s">
        <v>145</v>
      </c>
      <c r="C14" s="109"/>
      <c r="D14" s="110"/>
      <c r="E14" s="1"/>
    </row>
    <row r="15" spans="1:5" x14ac:dyDescent="0.25">
      <c r="A15" s="1"/>
      <c r="B15" s="65" t="s">
        <v>135</v>
      </c>
      <c r="C15" s="23">
        <f>(C9+C10-C11)*(1+'Fane 15. Nøgletal'!C9)</f>
        <v>56266785.202598445</v>
      </c>
      <c r="D15" s="14" t="s">
        <v>3</v>
      </c>
      <c r="E15" s="1"/>
    </row>
    <row r="16" spans="1:5" x14ac:dyDescent="0.25">
      <c r="A16" s="1"/>
      <c r="B16" s="65" t="s">
        <v>184</v>
      </c>
      <c r="C16" s="23">
        <f>('Fane 2.1. Økonomisk ramme 2025'!C11+'Fane 2.1. Økonomisk ramme 2025'!C13+'Fane 2.1. Økonomisk ramme 2025'!C15)*(1+'Fane 15. Nøgletal'!C10)</f>
        <v>1248412.1413345952</v>
      </c>
      <c r="D16" s="14" t="s">
        <v>3</v>
      </c>
      <c r="E16" s="1"/>
    </row>
    <row r="17" spans="1:5" x14ac:dyDescent="0.25">
      <c r="A17" s="1"/>
      <c r="B17" s="65" t="s">
        <v>136</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8" t="s">
        <v>82</v>
      </c>
      <c r="C20" s="109"/>
      <c r="D20" s="110"/>
      <c r="E20" s="1"/>
    </row>
    <row r="21" spans="1:5" x14ac:dyDescent="0.25">
      <c r="A21" s="1"/>
      <c r="B21" s="65" t="s">
        <v>191</v>
      </c>
      <c r="C21" s="23">
        <f>(C15+C16-C17)*(1+'Fane 15. Nøgletal'!C10)</f>
        <v>61328454.9278358</v>
      </c>
      <c r="D21" s="14" t="s">
        <v>3</v>
      </c>
      <c r="E21" s="1"/>
    </row>
    <row r="22" spans="1:5" x14ac:dyDescent="0.25">
      <c r="A22" s="1"/>
      <c r="B22" s="65" t="s">
        <v>196</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8" t="s">
        <v>137</v>
      </c>
      <c r="C25" s="109"/>
      <c r="D25" s="110"/>
      <c r="E25" s="1"/>
    </row>
    <row r="26" spans="1:5" x14ac:dyDescent="0.25">
      <c r="A26" s="1"/>
      <c r="B26" s="65" t="s">
        <v>192</v>
      </c>
      <c r="C26" s="23">
        <f>(C21-C22)*(1+'Fane 15. Nøgletal'!C10)</f>
        <v>65394531.489551313</v>
      </c>
      <c r="D26" s="14" t="s">
        <v>3</v>
      </c>
      <c r="E26" s="1"/>
    </row>
    <row r="27" spans="1:5" x14ac:dyDescent="0.25">
      <c r="A27" s="1"/>
      <c r="B27" s="65" t="s">
        <v>197</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8" t="s">
        <v>162</v>
      </c>
      <c r="C30" s="109"/>
      <c r="D30" s="110"/>
      <c r="E30" s="1"/>
    </row>
    <row r="31" spans="1:5" x14ac:dyDescent="0.25">
      <c r="A31" s="1"/>
      <c r="B31" s="65" t="s">
        <v>199</v>
      </c>
      <c r="C31" s="23">
        <f>(C26-C27)*(1+'Fane 15. Nøgletal'!C10)</f>
        <v>69730188.927308574</v>
      </c>
      <c r="D31" s="14" t="s">
        <v>3</v>
      </c>
      <c r="E31" s="1"/>
    </row>
    <row r="32" spans="1:5" x14ac:dyDescent="0.25">
      <c r="A32" s="1"/>
      <c r="B32" s="65" t="s">
        <v>198</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EeaZClF40FERd4Cab/SLv3S4OutJOWTGrOZKGOSMrRD8ly67LGaGTk/HgnH+2ZHaiz5IGjHESIVyN3OsmMexCQ==" saltValue="vuQDkZTF5+umHj+gOgOTRg=="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5" t="s">
        <v>163</v>
      </c>
      <c r="C9" s="22">
        <v>0</v>
      </c>
      <c r="D9" s="1"/>
    </row>
    <row r="10" spans="1:4" x14ac:dyDescent="0.25">
      <c r="A10" s="1"/>
      <c r="B10" s="33"/>
      <c r="C10" s="19"/>
      <c r="D10" s="1"/>
    </row>
    <row r="11" spans="1:4" x14ac:dyDescent="0.25">
      <c r="A11" s="1"/>
      <c r="B11" s="112" t="s">
        <v>217</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34VNy9jfXfsnHpb7l1jHrXwqWuaVrotzBayt81Yc2sSHUc63k3EBcF39hyKJ1fwDLPVsi09JSGZ3sgKFIqCLaQ==" saltValue="OwUl5urc2lGWkG12IrvBnA=="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2024-10-08T07:00:55Z</dcterms:modified>
</cp:coreProperties>
</file>