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Thisted Spildevand Transport AS (S095)\ØR2025\"/>
    </mc:Choice>
  </mc:AlternateContent>
  <xr:revisionPtr revIDLastSave="0" documentId="13_ncr:1_{B7020DC5-DD6C-47BE-94A2-2E131E2D083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<sst xmlns="http://schemas.openxmlformats.org/spreadsheetml/2006/main" count="548" uniqueCount="233">
  <si>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</si>
  <si>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</si>
  <si>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</si>
  <si>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</si>
  <si>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</si>
  <si>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</si>
  <si>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</si>
  <si>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</si>
  <si>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</si>
  <si>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</si>
  <si>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</si>
  <si>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</si>
  <si>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</si>
  <si>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</si>
  <si>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</si>
  <si>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</si>
  <si>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</si>
  <si>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</si>
  <si>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</si>
  <si>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</si>
  <si>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</si>
  <si>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</si>
  <si>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</si>
  <si>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</si>
  <si>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</si>
  <si>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</si>
  <si>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</si>
  <si>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</si>
  <si>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</si>
  <si>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</si>
  <si>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</si>
  <si>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</si>
  <si>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</si>
  <si>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</si>
  <si>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</si>
  <si>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</si>
  <si>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</si>
  <si>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</si>
  <si>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</si>
  <si>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</si>
  <si>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</si>
  <si>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</si>
  <si>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</si>
  <si>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</si>
  <si>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</si>
  <si>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</si>
  <si>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</si>
  <si>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</si>
  <si>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</si>
  <si>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</si>
  <si>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</si>
  <si>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</si>
  <si>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</si>
  <si>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</si>
  <si>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</si>
  <si>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</si>
  <si>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</si>
  <si>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</si>
  <si>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</si>
  <si>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</si>
  <si>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</si>
  <si>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</si>
  <si>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</si>
  <si>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</si>
  <si>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</si>
  <si>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</si>
  <si>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</si>
  <si>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</si>
  <si>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</si>
  <si>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</si>
  <si>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</si>
  <si>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</si>
  <si>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</si>
  <si>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</si>
  <si>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</si>
  <si>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</si>
  <si>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</si>
  <si>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</si>
  <si>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</si>
  <si>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</si>
  <si>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</si>
  <si>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</si>
  <si>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</si>
  <si>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</si>
  <si>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</si>
  <si>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</si>
  <si>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</si>
  <si>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</si>
  <si>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</si>
  <si>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</si>
  <si>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</si>
  <si>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</si>
  <si>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</si>
  <si>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</si>
  <si>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</si>
  <si>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</si>
  <si>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</si>
  <si>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</si>
  <si>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</si>
  <si>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</si>
  <si>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</si>
  <si>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</si>
  <si>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</si>
  <si>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</si>
  <si>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</si>
  <si>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</si>
  <si>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</si>
  <si>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</si>
  <si>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</si>
  <si>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</si>
  <si>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</si>
  <si>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</si>
  <si>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</si>
  <si>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</si>
  <si>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</si>
  <si>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</si>
  <si>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</si>
  <si>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</si>
  <si>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</si>
  <si>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</si>
  <si>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</si>
  <si>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</si>
  <si>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</si>
  <si>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</si>
  <si>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</si>
  <si>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</si>
  <si>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</si>
  <si>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</si>
  <si>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</si>
  <si>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</si>
  <si>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</si>
  <si>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</si>
  <si>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</si>
  <si>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</si>
  <si>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</si>
  <si>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</si>
  <si>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</si>
  <si>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</si>
  <si>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</si>
  <si>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</si>
  <si>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</si>
  <si>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</si>
  <si>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</si>
  <si>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</si>
  <si>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</si>
  <si>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</si>
  <si>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</si>
  <si>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</si>
  <si>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</si>
  <si>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</si>
  <si>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</si>
  <si>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</si>
  <si>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</si>
  <si>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</si>
  <si>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</si>
  <si>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</si>
  <si>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</si>
  <si>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</si>
  <si>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</si>
  <si>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</si>
  <si>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</si>
  <si>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</si>
  <si>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</si>
  <si>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</si>
  <si>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</si>
  <si>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</si>
  <si>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</si>
  <si>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</si>
  <si>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</si>
  <si>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</si>
  <si>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</si>
  <si>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</si>
  <si>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</si>
  <si>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</si>
  <si>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</si>
  <si>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</si>
  <si>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</si>
  <si>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</si>
  <si>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</si>
  <si>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</si>
  <si>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</si>
  <si>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</si>
  <si>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</si>
  <si>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</si>
  <si>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</si>
  <si>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</si>
  <si>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</si>
  <si>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</si>
  <si>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</si>
  <si>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</si>
  <si>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</si>
  <si>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</si>
  <si>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</si>
  <si>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</si>
  <si>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</si>
  <si>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</si>
  <si>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</si>
  <si>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</si>
  <si>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</si>
  <si>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</si>
  <si>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</si>
  <si>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</si>
  <si>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</si>
  <si>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</si>
  <si>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</si>
  <si>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</si>
  <si>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</si>
  <si>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</si>
  <si>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</si>
  <si>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</si>
  <si>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</si>
  <si>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</si>
  <si>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</si>
  <si>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</si>
  <si>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</si>
  <si>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</si>
  <si>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</si>
  <si>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</si>
  <si>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</si>
  <si>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</si>
  <si>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</si>
  <si>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</si>
  <si>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</si>
  <si>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</si>
  <si>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</si>
  <si>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</si>
  <si>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</si>
  <si>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Afgift til Forsyningssekretariatet</t>
  </si>
  <si>
    <t>Køb af ydelser og produkter fra andre vandselskaber reguleret af vandsektorloven</t>
  </si>
  <si>
    <t>Erstatninger</t>
  </si>
  <si>
    <t>Gebyr til Miljøstyrelsen</t>
  </si>
  <si>
    <t>Tillæg 1 - § 11, stk. 1 SPVT</t>
  </si>
  <si>
    <t>Tillæg 2 - Nye kunder og byggemodninger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</si>
</sst>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_ ;\-#,##0\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3" fontId="8" fillId="8" borderId="2" xfId="1" quotePrefix="1" applyNumberFormat="1" applyFont="1" applyFill="1" applyBorder="1" applyAlignment="1" applyProtection="1">
      <alignment horizontal="right" wrapText="1"/>
    </xf>
    <xf numFmtId="1" fontId="8" fillId="8" borderId="2" xfId="1" quotePrefix="1" applyNumberFormat="1" applyFont="1" applyFill="1" applyBorder="1" applyAlignment="1" applyProtection="1">
      <alignment horizontal="right" wrapText="1"/>
    </xf>
    <xf numFmtId="167"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7" t="s">
        <v>4</v>
      </c>
      <c r="D6" s="97"/>
      <c r="E6" s="97"/>
      <c r="F6" s="97"/>
      <c r="G6" s="3"/>
    </row>
    <row r="7" spans="1:7" ht="15" customHeight="1" x14ac:dyDescent="0.25">
      <c r="A7" s="1"/>
      <c r="B7" s="3"/>
      <c r="C7" s="97"/>
      <c r="D7" s="97"/>
      <c r="E7" s="97"/>
      <c r="F7" s="97"/>
      <c r="G7" s="3"/>
    </row>
    <row r="8" spans="1:7" ht="15.75" x14ac:dyDescent="0.25">
      <c r="A8" s="1"/>
      <c r="B8" s="4"/>
      <c r="C8" s="102" t="s">
        <v>226</v>
      </c>
      <c r="D8" s="102"/>
      <c r="E8" s="102"/>
      <c r="F8" s="102"/>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1" t="s">
        <v>5</v>
      </c>
      <c r="D11" s="101"/>
      <c r="E11" s="101"/>
      <c r="F11" s="101"/>
      <c r="G11" s="5"/>
    </row>
    <row r="12" spans="1:7" x14ac:dyDescent="0.25">
      <c r="A12" s="1"/>
      <c r="B12" s="1"/>
      <c r="C12" s="1"/>
      <c r="D12" s="1"/>
      <c r="E12" s="1"/>
      <c r="F12" s="1"/>
      <c r="G12" s="5"/>
    </row>
    <row r="13" spans="1:7" x14ac:dyDescent="0.25">
      <c r="A13" s="1"/>
      <c r="B13" s="6" t="s">
        <v>6</v>
      </c>
      <c r="C13" s="103" t="s">
        <v>127</v>
      </c>
      <c r="D13" s="104"/>
      <c r="E13" s="104"/>
      <c r="F13" s="105"/>
      <c r="G13" s="5"/>
    </row>
    <row r="14" spans="1:7" x14ac:dyDescent="0.25">
      <c r="A14" s="1"/>
      <c r="B14" s="6" t="s">
        <v>16</v>
      </c>
      <c r="C14" s="94" t="s">
        <v>186</v>
      </c>
      <c r="D14" s="95"/>
      <c r="E14" s="95"/>
      <c r="F14" s="96"/>
      <c r="G14" s="5"/>
    </row>
    <row r="15" spans="1:7" x14ac:dyDescent="0.25">
      <c r="A15" s="1"/>
      <c r="B15" s="6" t="s">
        <v>30</v>
      </c>
      <c r="C15" s="94" t="s">
        <v>149</v>
      </c>
      <c r="D15" s="95"/>
      <c r="E15" s="95"/>
      <c r="F15" s="96"/>
      <c r="G15" s="5"/>
    </row>
    <row r="16" spans="1:7" x14ac:dyDescent="0.25">
      <c r="A16" s="1"/>
      <c r="B16" s="6" t="s">
        <v>31</v>
      </c>
      <c r="C16" s="94" t="s">
        <v>151</v>
      </c>
      <c r="D16" s="95"/>
      <c r="E16" s="95"/>
      <c r="F16" s="96"/>
      <c r="G16" s="5"/>
    </row>
    <row r="17" spans="1:8" x14ac:dyDescent="0.25">
      <c r="A17" s="1"/>
      <c r="B17" s="6" t="s">
        <v>61</v>
      </c>
      <c r="C17" s="94" t="s">
        <v>152</v>
      </c>
      <c r="D17" s="95"/>
      <c r="E17" s="95"/>
      <c r="F17" s="96"/>
      <c r="G17" s="5"/>
    </row>
    <row r="18" spans="1:8" x14ac:dyDescent="0.25">
      <c r="A18" s="1"/>
      <c r="B18" s="6" t="s">
        <v>53</v>
      </c>
      <c r="C18" s="91" t="s">
        <v>45</v>
      </c>
      <c r="D18" s="92"/>
      <c r="E18" s="92"/>
      <c r="F18" s="93"/>
      <c r="G18" s="5"/>
    </row>
    <row r="19" spans="1:8" x14ac:dyDescent="0.25">
      <c r="A19" s="1"/>
      <c r="B19" s="6" t="s">
        <v>54</v>
      </c>
      <c r="C19" s="91" t="s">
        <v>46</v>
      </c>
      <c r="D19" s="92"/>
      <c r="E19" s="92"/>
      <c r="F19" s="93"/>
      <c r="G19" s="5"/>
    </row>
    <row r="20" spans="1:8" x14ac:dyDescent="0.25">
      <c r="A20" s="1"/>
      <c r="B20" s="6" t="s">
        <v>7</v>
      </c>
      <c r="C20" s="91" t="s">
        <v>10</v>
      </c>
      <c r="D20" s="92"/>
      <c r="E20" s="92"/>
      <c r="F20" s="93"/>
      <c r="G20" s="5"/>
    </row>
    <row r="21" spans="1:8" x14ac:dyDescent="0.25">
      <c r="A21" s="1"/>
      <c r="B21" s="6" t="s">
        <v>55</v>
      </c>
      <c r="C21" s="98" t="s">
        <v>12</v>
      </c>
      <c r="D21" s="99"/>
      <c r="E21" s="99"/>
      <c r="F21" s="100"/>
      <c r="G21" s="5"/>
    </row>
    <row r="22" spans="1:8" x14ac:dyDescent="0.25">
      <c r="A22" s="1"/>
      <c r="B22" s="6" t="s">
        <v>39</v>
      </c>
      <c r="C22" s="85" t="s">
        <v>153</v>
      </c>
      <c r="D22" s="86"/>
      <c r="E22" s="86"/>
      <c r="F22" s="87"/>
      <c r="G22" s="5"/>
    </row>
    <row r="23" spans="1:8" x14ac:dyDescent="0.25">
      <c r="A23" s="1"/>
      <c r="B23" s="6" t="s">
        <v>8</v>
      </c>
      <c r="C23" s="85" t="s">
        <v>112</v>
      </c>
      <c r="D23" s="86"/>
      <c r="E23" s="86"/>
      <c r="F23" s="87"/>
      <c r="G23" s="5"/>
    </row>
    <row r="24" spans="1:8" x14ac:dyDescent="0.25">
      <c r="A24" s="1"/>
      <c r="B24" s="6" t="s">
        <v>9</v>
      </c>
      <c r="C24" s="85" t="s">
        <v>154</v>
      </c>
      <c r="D24" s="86"/>
      <c r="E24" s="86"/>
      <c r="F24" s="87"/>
      <c r="G24" s="5"/>
    </row>
    <row r="25" spans="1:8" x14ac:dyDescent="0.25">
      <c r="A25" s="1"/>
      <c r="B25" s="6" t="s">
        <v>97</v>
      </c>
      <c r="C25" s="85" t="s">
        <v>91</v>
      </c>
      <c r="D25" s="86"/>
      <c r="E25" s="86"/>
      <c r="F25" s="87"/>
      <c r="G25" s="1"/>
    </row>
    <row r="26" spans="1:8" x14ac:dyDescent="0.25">
      <c r="A26" s="1"/>
      <c r="B26" s="6" t="s">
        <v>98</v>
      </c>
      <c r="C26" s="85" t="s">
        <v>40</v>
      </c>
      <c r="D26" s="86"/>
      <c r="E26" s="86"/>
      <c r="F26" s="87"/>
      <c r="G26" s="1"/>
    </row>
    <row r="27" spans="1:8" x14ac:dyDescent="0.25">
      <c r="A27" s="1"/>
      <c r="B27" s="6" t="s">
        <v>99</v>
      </c>
      <c r="C27" s="85" t="s">
        <v>41</v>
      </c>
      <c r="D27" s="86"/>
      <c r="E27" s="86"/>
      <c r="F27" s="87"/>
      <c r="G27" s="1"/>
    </row>
    <row r="28" spans="1:8" x14ac:dyDescent="0.25">
      <c r="A28" s="1"/>
      <c r="B28" s="6" t="s">
        <v>15</v>
      </c>
      <c r="C28" s="85" t="s">
        <v>42</v>
      </c>
      <c r="D28" s="86"/>
      <c r="E28" s="86"/>
      <c r="F28" s="87"/>
      <c r="G28" s="1"/>
      <c r="H28" s="2" t="s">
        <v>150</v>
      </c>
    </row>
    <row r="29" spans="1:8" x14ac:dyDescent="0.25">
      <c r="A29" s="1"/>
      <c r="B29" s="6" t="s">
        <v>33</v>
      </c>
      <c r="C29" s="85" t="s">
        <v>68</v>
      </c>
      <c r="D29" s="86"/>
      <c r="E29" s="86"/>
      <c r="F29" s="87"/>
      <c r="G29" s="1"/>
    </row>
    <row r="30" spans="1:8" x14ac:dyDescent="0.25">
      <c r="A30" s="1"/>
      <c r="B30" s="6" t="s">
        <v>34</v>
      </c>
      <c r="C30" s="85" t="s">
        <v>32</v>
      </c>
      <c r="D30" s="86"/>
      <c r="E30" s="86"/>
      <c r="F30" s="87"/>
      <c r="G30" s="1"/>
    </row>
    <row r="31" spans="1:8" x14ac:dyDescent="0.25">
      <c r="A31" s="1"/>
      <c r="B31" s="6" t="s">
        <v>100</v>
      </c>
      <c r="C31" s="88" t="s">
        <v>52</v>
      </c>
      <c r="D31" s="89"/>
      <c r="E31" s="89"/>
      <c r="F31" s="90"/>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PTtKmegMyTCpRhaXf7oYcUyur/XTjeoeNEhwQSxWhJbsHb/IfMYvaHc+vbPS/B4nUDUrDZC4a2l0LF4047t6tQ==" saltValue="V6tawca7VQs5yy8q0LlPh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58</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0" t="s">
        <v>165</v>
      </c>
      <c r="C8" s="111"/>
      <c r="D8" s="112"/>
      <c r="E8" s="1"/>
    </row>
    <row r="9" spans="1:5" ht="15" customHeight="1" x14ac:dyDescent="0.25">
      <c r="A9" s="1"/>
      <c r="B9" s="27" t="s">
        <v>28</v>
      </c>
      <c r="C9" s="67" t="s">
        <v>166</v>
      </c>
      <c r="D9" s="11"/>
      <c r="E9" s="1"/>
    </row>
    <row r="10" spans="1:5" ht="15" customHeight="1" x14ac:dyDescent="0.25">
      <c r="A10" s="1"/>
      <c r="B10" s="74" t="s">
        <v>227</v>
      </c>
      <c r="C10" s="75">
        <v>78423</v>
      </c>
      <c r="D10" s="14" t="s">
        <v>3</v>
      </c>
      <c r="E10" s="1"/>
    </row>
    <row r="11" spans="1:5" ht="15" customHeight="1" x14ac:dyDescent="0.25">
      <c r="A11" s="1"/>
      <c r="B11" s="74" t="s">
        <v>228</v>
      </c>
      <c r="C11" s="75">
        <v>21757152</v>
      </c>
      <c r="D11" s="14" t="s">
        <v>3</v>
      </c>
      <c r="E11" s="1"/>
    </row>
    <row r="12" spans="1:5" x14ac:dyDescent="0.25">
      <c r="A12" s="1"/>
      <c r="B12" s="74" t="s">
        <v>229</v>
      </c>
      <c r="C12" s="75">
        <v>116741.21</v>
      </c>
      <c r="D12" s="14" t="s">
        <v>3</v>
      </c>
      <c r="E12" s="1"/>
    </row>
    <row r="13" spans="1:5" x14ac:dyDescent="0.25">
      <c r="A13" s="1"/>
      <c r="B13" s="74" t="s">
        <v>230</v>
      </c>
      <c r="C13" s="75">
        <v>10785</v>
      </c>
      <c r="D13" s="14" t="s">
        <v>3</v>
      </c>
      <c r="E13" s="1"/>
    </row>
    <row r="14" spans="1:5" x14ac:dyDescent="0.25">
      <c r="A14" s="1"/>
      <c r="B14" s="74"/>
      <c r="C14" s="75"/>
      <c r="D14" s="14" t="s">
        <v>3</v>
      </c>
      <c r="E14" s="1"/>
    </row>
    <row r="15" spans="1:5" x14ac:dyDescent="0.25">
      <c r="A15" s="1"/>
      <c r="B15" s="74"/>
      <c r="C15" s="75"/>
      <c r="D15" s="14" t="s">
        <v>3</v>
      </c>
      <c r="E15" s="1"/>
    </row>
    <row r="16" spans="1:5" x14ac:dyDescent="0.25">
      <c r="A16" s="1"/>
      <c r="B16" s="74"/>
      <c r="C16" s="75"/>
      <c r="D16" s="14" t="s">
        <v>3</v>
      </c>
      <c r="E16" s="1"/>
    </row>
    <row r="17" spans="1:5" x14ac:dyDescent="0.25">
      <c r="A17" s="1"/>
      <c r="B17" s="74"/>
      <c r="C17" s="75"/>
      <c r="D17" s="14" t="s">
        <v>3</v>
      </c>
      <c r="E17" s="1"/>
    </row>
    <row r="18" spans="1:5" x14ac:dyDescent="0.25">
      <c r="A18" s="1"/>
      <c r="B18" s="74"/>
      <c r="C18" s="75"/>
      <c r="D18" s="14" t="s">
        <v>3</v>
      </c>
      <c r="E18" s="1"/>
    </row>
    <row r="19" spans="1:5" x14ac:dyDescent="0.25">
      <c r="A19" s="1"/>
      <c r="B19" s="74"/>
      <c r="C19" s="75"/>
      <c r="D19" s="14" t="s">
        <v>3</v>
      </c>
      <c r="E19" s="1"/>
    </row>
    <row r="20" spans="1:5" x14ac:dyDescent="0.25">
      <c r="A20" s="1"/>
      <c r="B20" s="33" t="s">
        <v>167</v>
      </c>
      <c r="C20" s="12">
        <f>SUM(C10:C19)</f>
        <v>21963101.210000001</v>
      </c>
      <c r="D20" s="13" t="s">
        <v>3</v>
      </c>
      <c r="E20" s="1"/>
    </row>
    <row r="21" spans="1:5" x14ac:dyDescent="0.25">
      <c r="A21" s="1"/>
      <c r="B21" s="33" t="s">
        <v>168</v>
      </c>
      <c r="C21" s="12">
        <f>C20*(1+'Fane 15. Nøgletal'!C10)^2</f>
        <v>24971951.414803784</v>
      </c>
      <c r="D21" s="13" t="s">
        <v>3</v>
      </c>
      <c r="E21" s="1"/>
    </row>
    <row r="22" spans="1:5" x14ac:dyDescent="0.25">
      <c r="A22" s="1"/>
      <c r="B22" s="16"/>
      <c r="C22" s="15"/>
      <c r="D22" s="15"/>
      <c r="E22" s="1"/>
    </row>
    <row r="23" spans="1:5" x14ac:dyDescent="0.25">
      <c r="A23" s="1"/>
      <c r="B23" s="16"/>
      <c r="C23" s="15"/>
      <c r="D23" s="15"/>
      <c r="E23" s="1"/>
    </row>
    <row r="24" spans="1:5" x14ac:dyDescent="0.25">
      <c r="A24" s="1"/>
      <c r="B24" s="110" t="s">
        <v>60</v>
      </c>
      <c r="C24" s="111"/>
      <c r="D24" s="112"/>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10"/>
      <c r="C29" s="111"/>
      <c r="D29" s="112"/>
      <c r="E29" s="1"/>
    </row>
    <row r="30" spans="1:5" x14ac:dyDescent="0.25">
      <c r="A30" s="1"/>
      <c r="B30" s="1"/>
      <c r="C30" s="1"/>
      <c r="D30" s="1"/>
      <c r="E30" s="1"/>
    </row>
    <row r="31" spans="1:5" x14ac:dyDescent="0.25">
      <c r="A31" s="1"/>
      <c r="B31" s="1"/>
      <c r="C31" s="1"/>
      <c r="D31" s="1"/>
      <c r="E31" s="1"/>
    </row>
    <row r="32" spans="1:5" x14ac:dyDescent="0.25">
      <c r="A32" s="1"/>
      <c r="B32" s="110" t="s">
        <v>47</v>
      </c>
      <c r="C32" s="111"/>
      <c r="D32" s="112"/>
      <c r="E32" s="1"/>
    </row>
    <row r="33" spans="1:5" x14ac:dyDescent="0.25">
      <c r="A33" s="1"/>
      <c r="B33" s="37" t="s">
        <v>72</v>
      </c>
      <c r="C33" s="9">
        <v>978519</v>
      </c>
      <c r="D33" s="14" t="s">
        <v>3</v>
      </c>
      <c r="E33" s="1"/>
    </row>
    <row r="34" spans="1:5" x14ac:dyDescent="0.25">
      <c r="A34" s="1"/>
      <c r="B34" s="37" t="s">
        <v>83</v>
      </c>
      <c r="C34" s="9">
        <v>978519</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10"/>
      <c r="C37" s="111"/>
      <c r="D37" s="112"/>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tjTMxa1jf/MVRjWCYe0bYT88HXeoyHmgSbwkP2WWuhiHZlLgfvTx+waJKtA+kCxvi5MOFO6DWu8VVYwDJspwCA==" saltValue="qSCU6ubGUWI5yqTVYRIVn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7"/>
      <c r="C6" s="77"/>
      <c r="D6" s="77"/>
      <c r="E6" s="1"/>
    </row>
    <row r="7" spans="1:5" x14ac:dyDescent="0.25">
      <c r="A7" s="1"/>
      <c r="B7" s="1"/>
      <c r="C7" s="1"/>
      <c r="D7" s="1"/>
      <c r="E7" s="1"/>
    </row>
    <row r="8" spans="1:5" x14ac:dyDescent="0.25">
      <c r="A8" s="1"/>
      <c r="B8" s="110" t="s">
        <v>77</v>
      </c>
      <c r="C8" s="111"/>
      <c r="D8" s="112"/>
      <c r="E8" s="1"/>
    </row>
    <row r="9" spans="1:5" x14ac:dyDescent="0.25">
      <c r="A9" s="1"/>
      <c r="B9" s="65" t="s">
        <v>204</v>
      </c>
      <c r="C9" s="9">
        <v>5304856.1254447103</v>
      </c>
      <c r="D9" s="14" t="s">
        <v>3</v>
      </c>
      <c r="E9" s="1"/>
    </row>
    <row r="10" spans="1:5" x14ac:dyDescent="0.25">
      <c r="A10" s="1"/>
      <c r="B10" s="33"/>
      <c r="C10" s="28"/>
      <c r="D10" s="19"/>
      <c r="E10" s="1"/>
    </row>
    <row r="11" spans="1:5" ht="53.25" customHeight="1" x14ac:dyDescent="0.25">
      <c r="A11" s="1"/>
      <c r="B11" s="121" t="s">
        <v>212</v>
      </c>
      <c r="C11" s="122"/>
      <c r="D11" s="123"/>
      <c r="E11" s="1"/>
    </row>
    <row r="12" spans="1:5" x14ac:dyDescent="0.25">
      <c r="A12" s="1"/>
      <c r="B12" s="1"/>
      <c r="C12" s="1"/>
      <c r="D12" s="1"/>
      <c r="E12" s="1"/>
    </row>
    <row r="13" spans="1:5" x14ac:dyDescent="0.25">
      <c r="A13" s="1"/>
      <c r="B13" s="110" t="s">
        <v>78</v>
      </c>
      <c r="C13" s="111"/>
      <c r="D13" s="112"/>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1" t="s">
        <v>121</v>
      </c>
      <c r="C17" s="122"/>
      <c r="D17" s="123"/>
      <c r="E17" s="1"/>
    </row>
    <row r="18" spans="1:5" x14ac:dyDescent="0.25">
      <c r="A18" s="1"/>
      <c r="B18" s="1"/>
      <c r="C18" s="1"/>
      <c r="D18" s="1"/>
      <c r="E18" s="1"/>
    </row>
    <row r="19" spans="1:5" x14ac:dyDescent="0.25">
      <c r="A19" s="1"/>
      <c r="B19" s="78" t="s">
        <v>205</v>
      </c>
      <c r="C19" s="79"/>
      <c r="D19" s="80"/>
      <c r="E19" s="1"/>
    </row>
    <row r="20" spans="1:5" x14ac:dyDescent="0.25">
      <c r="A20" s="1"/>
      <c r="B20" s="65" t="s">
        <v>206</v>
      </c>
      <c r="C20" s="9">
        <v>83355485.933490366</v>
      </c>
      <c r="D20" s="14" t="s">
        <v>3</v>
      </c>
      <c r="E20" s="1"/>
    </row>
    <row r="21" spans="1:5" x14ac:dyDescent="0.25">
      <c r="A21" s="1"/>
      <c r="B21" s="65" t="s">
        <v>207</v>
      </c>
      <c r="C21" s="9">
        <v>82100676</v>
      </c>
      <c r="D21" s="14" t="s">
        <v>3</v>
      </c>
      <c r="E21" s="1"/>
    </row>
    <row r="22" spans="1:5" x14ac:dyDescent="0.25">
      <c r="A22" s="1"/>
      <c r="B22" s="65" t="s">
        <v>29</v>
      </c>
      <c r="C22" s="9">
        <v>0</v>
      </c>
      <c r="D22" s="14" t="s">
        <v>3</v>
      </c>
      <c r="E22" s="1"/>
    </row>
    <row r="23" spans="1:5" x14ac:dyDescent="0.25">
      <c r="A23" s="1"/>
      <c r="B23" s="84" t="s">
        <v>208</v>
      </c>
      <c r="C23" s="57">
        <f>C20-C21-C22</f>
        <v>1254809.9334903657</v>
      </c>
      <c r="D23" s="17" t="s">
        <v>3</v>
      </c>
      <c r="E23" s="1"/>
    </row>
    <row r="24" spans="1:5" x14ac:dyDescent="0.25">
      <c r="A24" s="1"/>
      <c r="B24" s="33"/>
      <c r="C24" s="28"/>
      <c r="D24" s="19"/>
      <c r="E24" s="1"/>
    </row>
    <row r="25" spans="1:5" x14ac:dyDescent="0.25">
      <c r="A25" s="1"/>
      <c r="B25" s="1"/>
      <c r="C25" s="1"/>
      <c r="D25" s="1"/>
      <c r="E25" s="1"/>
    </row>
    <row r="26" spans="1:5" x14ac:dyDescent="0.25">
      <c r="A26" s="1"/>
      <c r="B26" s="110" t="s">
        <v>209</v>
      </c>
      <c r="C26" s="111"/>
      <c r="D26" s="112"/>
      <c r="E26" s="1"/>
    </row>
    <row r="27" spans="1:5" x14ac:dyDescent="0.25">
      <c r="A27" s="1"/>
      <c r="B27" s="84" t="s">
        <v>210</v>
      </c>
      <c r="C27" s="57">
        <f>IF(AND(C15&lt;0,C23&gt;0,ABS(SUM(C14:C15))&lt;C23),ABS(C14),IF(AND(C15&lt;0,C23&gt;0,ABS(SUM(C14:C15))&gt;C23),SUM(C14,C23),C15))</f>
        <v>0</v>
      </c>
      <c r="D27" s="17" t="s">
        <v>3</v>
      </c>
      <c r="E27" s="1"/>
    </row>
    <row r="28" spans="1:5" x14ac:dyDescent="0.25">
      <c r="A28" s="1"/>
      <c r="B28" s="110"/>
      <c r="C28" s="111"/>
      <c r="D28" s="112"/>
      <c r="E28" s="1"/>
    </row>
    <row r="29" spans="1:5" x14ac:dyDescent="0.25">
      <c r="A29" s="1"/>
      <c r="B29" s="1"/>
      <c r="C29" s="1"/>
      <c r="D29" s="1"/>
      <c r="E29" s="1"/>
    </row>
    <row r="30" spans="1:5" x14ac:dyDescent="0.25">
      <c r="A30" s="1"/>
      <c r="B30" s="110" t="s">
        <v>211</v>
      </c>
      <c r="C30" s="111"/>
      <c r="D30" s="112"/>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8"/>
      <c r="C34" s="119"/>
      <c r="D34" s="120"/>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XsCHOYBYtbBNCGE68i2442QHan8GcluTnhoXfpeRtJ00Gkav8WIdKerEF004EFDm/u18rFCUrFIGcyuAqKCLhA==" saltValue="I452Wc1Cgv1LzUTPDjEpg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10" t="s">
        <v>120</v>
      </c>
      <c r="C8" s="111"/>
      <c r="D8" s="112"/>
      <c r="E8" s="1"/>
    </row>
    <row r="9" spans="1:5" ht="15" customHeight="1" x14ac:dyDescent="0.25">
      <c r="A9" s="1"/>
      <c r="B9" s="124" t="s">
        <v>102</v>
      </c>
      <c r="C9" s="125"/>
      <c r="D9" s="126"/>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8"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xGDh7pmEN6o4M6YzF3JIsFjTbml28IskD7T8VU/uhd3RyMcYRyDjDdu2LqbEqVipmmLailK0YJbS+EugbpevQ==" saltValue="lF9ROWJDrRhmqnJt6RAwX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0" t="s">
        <v>171</v>
      </c>
      <c r="C8" s="111"/>
      <c r="D8" s="112"/>
      <c r="E8" s="1"/>
    </row>
    <row r="9" spans="1:5" ht="26.25" x14ac:dyDescent="0.25">
      <c r="A9" s="1"/>
      <c r="B9" s="81" t="s">
        <v>215</v>
      </c>
      <c r="C9" s="7"/>
      <c r="D9" s="8" t="s">
        <v>3</v>
      </c>
      <c r="E9" s="1"/>
    </row>
    <row r="10" spans="1:5" ht="14.25" customHeight="1" x14ac:dyDescent="0.25">
      <c r="A10" s="1"/>
      <c r="B10" s="65" t="s">
        <v>172</v>
      </c>
      <c r="C10" s="7"/>
      <c r="D10" s="8" t="s">
        <v>3</v>
      </c>
      <c r="E10" s="1"/>
    </row>
    <row r="11" spans="1:5" ht="14.25" customHeight="1" x14ac:dyDescent="0.25">
      <c r="A11" s="1"/>
      <c r="B11" s="84" t="s">
        <v>48</v>
      </c>
      <c r="C11" s="10">
        <f>C10-C9</f>
        <v>0</v>
      </c>
      <c r="D11" s="11" t="s">
        <v>3</v>
      </c>
      <c r="E11" s="1"/>
    </row>
    <row r="12" spans="1:5" ht="14.25" customHeight="1" x14ac:dyDescent="0.25">
      <c r="A12" s="1"/>
      <c r="B12" s="110" t="s">
        <v>217</v>
      </c>
      <c r="C12" s="111"/>
      <c r="D12" s="112"/>
      <c r="E12" s="1"/>
    </row>
    <row r="13" spans="1:5" ht="26.25" x14ac:dyDescent="0.25">
      <c r="A13" s="1"/>
      <c r="B13" s="81" t="s">
        <v>216</v>
      </c>
      <c r="C13" s="7">
        <v>0</v>
      </c>
      <c r="D13" s="8" t="s">
        <v>3</v>
      </c>
      <c r="E13" s="1"/>
    </row>
    <row r="14" spans="1:5" ht="14.25" customHeight="1" x14ac:dyDescent="0.25">
      <c r="A14" s="1"/>
      <c r="B14" s="65" t="s">
        <v>173</v>
      </c>
      <c r="C14" s="7">
        <v>0</v>
      </c>
      <c r="D14" s="8" t="s">
        <v>3</v>
      </c>
      <c r="E14" s="1"/>
    </row>
    <row r="15" spans="1:5" ht="14.25" customHeight="1" x14ac:dyDescent="0.25">
      <c r="A15" s="1"/>
      <c r="B15" s="84"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43ahwt37RiNiJ1IGYZM1XCTiREXHrumCcnS6Q9CwSs87gDO/uIH5ZJMMk5rBb1oOMX8jWMcd41N/E7jjSWNFFw==" saltValue="dXj2dGrQj8Jl+W32w1Syl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113</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0" t="s">
        <v>86</v>
      </c>
      <c r="C8" s="111"/>
      <c r="D8" s="111"/>
      <c r="E8" s="111"/>
      <c r="F8" s="111"/>
      <c r="G8" s="111"/>
      <c r="H8" s="111"/>
      <c r="I8" s="111"/>
      <c r="J8" s="111"/>
      <c r="K8" s="112"/>
      <c r="L8" s="1"/>
    </row>
    <row r="9" spans="1:12" ht="39.75" customHeight="1" x14ac:dyDescent="0.25">
      <c r="A9" s="1"/>
      <c r="B9" s="18" t="s">
        <v>0</v>
      </c>
      <c r="C9" s="18" t="s">
        <v>1</v>
      </c>
      <c r="D9" s="127" t="s">
        <v>96</v>
      </c>
      <c r="E9" s="128"/>
      <c r="F9" s="127" t="s">
        <v>2</v>
      </c>
      <c r="G9" s="128"/>
      <c r="H9" s="127" t="s">
        <v>95</v>
      </c>
      <c r="I9" s="128"/>
      <c r="J9" s="127" t="s">
        <v>26</v>
      </c>
      <c r="K9" s="128"/>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8" t="s">
        <v>219</v>
      </c>
      <c r="C11" s="79"/>
      <c r="D11" s="80"/>
      <c r="E11" s="80"/>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djTsy/BJGijoKpmNHj1JLi30yP/yxnpUxJJ11jnMYnkK6F/R36LDsoFkkvGVyuECvKPAanoqyzAq6sHjKM5VPw==" saltValue="AKP14gPwI0yZXTu6F5h1c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114</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2" t="s">
        <v>17</v>
      </c>
      <c r="C9" s="84" t="s">
        <v>11</v>
      </c>
      <c r="D9" s="83"/>
      <c r="E9" s="84"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231</v>
      </c>
      <c r="C11" s="21">
        <v>0</v>
      </c>
      <c r="D11" s="14" t="s">
        <v>3</v>
      </c>
      <c r="E11" s="9">
        <v>435854</v>
      </c>
      <c r="F11" s="14" t="s">
        <v>3</v>
      </c>
      <c r="G11" s="1"/>
    </row>
    <row r="12" spans="1:7" x14ac:dyDescent="0.25">
      <c r="A12" s="1"/>
      <c r="B12" s="24" t="s">
        <v>232</v>
      </c>
      <c r="C12" s="21">
        <v>104439.64</v>
      </c>
      <c r="D12" s="14" t="s">
        <v>3</v>
      </c>
      <c r="E12" s="9">
        <v>41978.87</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104439.64</v>
      </c>
      <c r="D19" s="13" t="s">
        <v>3</v>
      </c>
      <c r="E19" s="12">
        <f>SUM(E10:E18)</f>
        <v>477832.87</v>
      </c>
      <c r="F19" s="13" t="s">
        <v>3</v>
      </c>
      <c r="G19" s="1"/>
    </row>
    <row r="20" spans="1:7" x14ac:dyDescent="0.25">
      <c r="A20" s="1"/>
      <c r="B20" s="33" t="s">
        <v>175</v>
      </c>
      <c r="C20" s="12">
        <f>C19*(1+'Fane 15. Nøgletal'!C10)</f>
        <v>111363.988132</v>
      </c>
      <c r="D20" s="13" t="s">
        <v>3</v>
      </c>
      <c r="E20" s="12">
        <f>E19*(1+'Fane 15. Nøgletal'!C10)</f>
        <v>509513.189281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8HVTY1IiNovkLZFzPdhQwCFvQDAgKp43mDolBe1vGKCcA/u9h/QYm1fYsU3oXuCsY64fRFiKFuKhfuqJWNk+w==" saltValue="/K4jGp6Eij8A1pI8AAhTu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0" t="s">
        <v>176</v>
      </c>
      <c r="C8" s="111"/>
      <c r="D8" s="111"/>
      <c r="E8" s="111"/>
      <c r="F8" s="112"/>
      <c r="G8" s="1"/>
    </row>
    <row r="9" spans="1:7" x14ac:dyDescent="0.25">
      <c r="A9" s="1"/>
      <c r="B9" s="82" t="s">
        <v>17</v>
      </c>
      <c r="C9" s="84" t="s">
        <v>11</v>
      </c>
      <c r="D9" s="83"/>
      <c r="E9" s="84" t="s">
        <v>27</v>
      </c>
      <c r="F9" s="32"/>
      <c r="G9" s="1"/>
    </row>
    <row r="10" spans="1:7" x14ac:dyDescent="0.25">
      <c r="A10" s="1"/>
      <c r="B10" s="24" t="s">
        <v>231</v>
      </c>
      <c r="C10" s="21">
        <v>402780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402780</v>
      </c>
      <c r="D13" s="13" t="s">
        <v>3</v>
      </c>
      <c r="E13" s="12">
        <f>SUM(E10:E12)</f>
        <v>0</v>
      </c>
      <c r="F13" s="13" t="s">
        <v>3</v>
      </c>
      <c r="G13" s="1"/>
    </row>
    <row r="14" spans="1:7" x14ac:dyDescent="0.25">
      <c r="A14" s="1"/>
      <c r="B14" s="33" t="s">
        <v>178</v>
      </c>
      <c r="C14" s="12">
        <f>C13*(1+'Fane 15. Nøgletal'!C10)^2</f>
        <v>457959.12401819997</v>
      </c>
      <c r="D14" s="13" t="s">
        <v>3</v>
      </c>
      <c r="E14" s="12">
        <f>E13*(1+'Fane 15. Nøgletal'!C10)^2</f>
        <v>0</v>
      </c>
      <c r="F14" s="13" t="s">
        <v>3</v>
      </c>
      <c r="G14" s="1"/>
    </row>
    <row r="15" spans="1:7" x14ac:dyDescent="0.25">
      <c r="A15" s="1"/>
      <c r="B15" s="1"/>
      <c r="C15" s="1"/>
      <c r="D15" s="1"/>
      <c r="E15" s="1"/>
      <c r="F15" s="1"/>
      <c r="G15" s="1"/>
    </row>
    <row r="16" spans="1:7" x14ac:dyDescent="0.25">
      <c r="A16" s="1"/>
      <c r="B16" s="129"/>
      <c r="C16" s="129"/>
      <c r="D16" s="129"/>
      <c r="E16" s="129"/>
      <c r="F16" s="129"/>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9"/>
      <c r="C29" s="129"/>
      <c r="D29" s="129"/>
      <c r="E29" s="129"/>
      <c r="F29" s="129"/>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ewGg7xjhlv3I8CEsFFjKs7NH31azijJxMlb61VQiOUJTE6XNDQB12zS+OXAaqEiah+kVeDAnKIf7n/Nq+coQ==" saltValue="7gGnmJ+ndcixGQezo5fW9g=="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10" t="s">
        <v>73</v>
      </c>
      <c r="C8" s="111"/>
      <c r="D8" s="112"/>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8" t="s">
        <v>74</v>
      </c>
      <c r="C12" s="12">
        <f>SUM(C9:C11)*(1+'Fane 15. Nøgletal'!C9)^2</f>
        <v>0</v>
      </c>
      <c r="D12" s="13" t="s">
        <v>3</v>
      </c>
      <c r="E12" s="1"/>
    </row>
    <row r="13" spans="1:5" x14ac:dyDescent="0.25">
      <c r="A13" s="1"/>
      <c r="B13" s="1"/>
      <c r="C13" s="1"/>
      <c r="D13" s="1"/>
      <c r="E13" s="1"/>
    </row>
    <row r="14" spans="1:5" ht="15" customHeight="1" x14ac:dyDescent="0.25">
      <c r="A14" s="1"/>
      <c r="B14" s="110" t="s">
        <v>84</v>
      </c>
      <c r="C14" s="111"/>
      <c r="D14" s="112"/>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8" t="s">
        <v>85</v>
      </c>
      <c r="C18" s="12">
        <f>SUM(C15:C17)*(1+'Fane 15. Nøgletal'!C10)^3</f>
        <v>0</v>
      </c>
      <c r="D18" s="13" t="s">
        <v>3</v>
      </c>
      <c r="E18" s="1"/>
    </row>
    <row r="19" spans="1:5" x14ac:dyDescent="0.25">
      <c r="A19" s="1"/>
      <c r="B19" s="1"/>
      <c r="C19" s="1"/>
      <c r="D19" s="1"/>
      <c r="E19" s="1"/>
    </row>
    <row r="20" spans="1:5" ht="15" customHeight="1" x14ac:dyDescent="0.25">
      <c r="A20" s="1"/>
      <c r="B20" s="110" t="s">
        <v>140</v>
      </c>
      <c r="C20" s="111"/>
      <c r="D20" s="112"/>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8" t="s">
        <v>141</v>
      </c>
      <c r="C24" s="12">
        <f>SUM(C21:C23)*(1+'Fane 15. Nøgletal'!C10)^4</f>
        <v>0</v>
      </c>
      <c r="D24" s="13" t="s">
        <v>3</v>
      </c>
      <c r="E24" s="1"/>
    </row>
    <row r="25" spans="1:5" x14ac:dyDescent="0.25">
      <c r="A25" s="1"/>
      <c r="B25" s="1"/>
      <c r="C25" s="1"/>
      <c r="D25" s="1"/>
      <c r="E25" s="1"/>
    </row>
    <row r="26" spans="1:5" ht="15" customHeight="1" x14ac:dyDescent="0.25">
      <c r="A26" s="1"/>
      <c r="B26" s="110" t="s">
        <v>180</v>
      </c>
      <c r="C26" s="111"/>
      <c r="D26" s="112"/>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8"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tjslS9BzXmAsX4j/xRDZjDZANXESVk4ES1GmYycb13uH+57CP7C/WL2sgd17TXvERhIVe6ufefo/XHsEBwMR7A==" saltValue="yvpGX8gTcV2Lab69Du5tz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10" t="s">
        <v>66</v>
      </c>
      <c r="C8" s="111"/>
      <c r="D8" s="111"/>
      <c r="E8" s="111"/>
      <c r="F8" s="112"/>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R0384spw1r1CBkYh4Ku4MGiORNsN2vJKzmmqXBdnyuOCb7LCn4g5EsSpJSMzKjC0txoUjKEUprXLfVAh13hpiA==" saltValue="oP0cM86BVqhiydoC34dRn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0" t="s">
        <v>183</v>
      </c>
      <c r="C8" s="111"/>
      <c r="D8" s="111"/>
      <c r="E8" s="111"/>
      <c r="F8" s="112"/>
      <c r="G8" s="1"/>
    </row>
    <row r="9" spans="1:7" x14ac:dyDescent="0.25">
      <c r="A9" s="1"/>
      <c r="B9" s="31" t="s">
        <v>18</v>
      </c>
      <c r="C9" s="130" t="s">
        <v>11</v>
      </c>
      <c r="D9" s="131"/>
      <c r="E9" s="130" t="s">
        <v>27</v>
      </c>
      <c r="F9" s="131"/>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9"/>
      <c r="C14" s="129"/>
      <c r="D14" s="129"/>
      <c r="E14" s="129"/>
      <c r="F14" s="129"/>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9"/>
      <c r="C21" s="129"/>
      <c r="D21" s="129"/>
      <c r="E21" s="129"/>
      <c r="F21" s="129"/>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9"/>
      <c r="C27" s="129"/>
      <c r="D27" s="129"/>
      <c r="E27" s="129"/>
      <c r="F27" s="129"/>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EMrYbpGTiG1a6A0o15duCkRV5/R1/R9PV4qRircPCZnNPMTGsWiTuWA2dWJFPcCw1KVtg1wXbrsoVazRvKfEg==" saltValue="2KjUPIJNGZk6iK1R5O5fj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68460859.678371325</v>
      </c>
      <c r="D9" s="8" t="s">
        <v>3</v>
      </c>
      <c r="E9" s="1"/>
    </row>
    <row r="10" spans="1:5" ht="17.25" customHeight="1" x14ac:dyDescent="0.25">
      <c r="A10" s="1"/>
      <c r="B10" s="64" t="s">
        <v>35</v>
      </c>
      <c r="C10" s="7">
        <f>'Fane 11.1. Varige tillæg'!C20</f>
        <v>111363.988132</v>
      </c>
      <c r="D10" s="8" t="s">
        <v>3</v>
      </c>
      <c r="E10" s="1"/>
    </row>
    <row r="11" spans="1:5" ht="17.25" customHeight="1" x14ac:dyDescent="0.25">
      <c r="A11" s="1"/>
      <c r="B11" s="64" t="s">
        <v>36</v>
      </c>
      <c r="C11" s="9">
        <f>'Fane 11.1. Varige tillæg'!E20</f>
        <v>509513.189281</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5572801.6188748842</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-361186.05933966412</v>
      </c>
      <c r="D18" s="8" t="s">
        <v>3</v>
      </c>
      <c r="E18" s="1"/>
    </row>
    <row r="19" spans="1:5" ht="17.25" customHeight="1" x14ac:dyDescent="0.25">
      <c r="A19" s="1"/>
      <c r="B19" s="64" t="s">
        <v>23</v>
      </c>
      <c r="C19" s="38">
        <f>-'Fane 4.2. Gen. krav - anlæg'!C17</f>
        <v>0</v>
      </c>
      <c r="D19" s="8" t="s">
        <v>3</v>
      </c>
      <c r="E19" s="43"/>
    </row>
    <row r="20" spans="1:5" ht="17.25" customHeight="1" x14ac:dyDescent="0.25">
      <c r="A20" s="1"/>
      <c r="B20" s="84" t="s">
        <v>21</v>
      </c>
      <c r="C20" s="10">
        <f>SUM(C9:C19)</f>
        <v>74293352.415319547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25950470.414803784</v>
      </c>
      <c r="D22" s="11" t="s">
        <v>3</v>
      </c>
      <c r="E22" s="1"/>
    </row>
    <row r="23" spans="1:5" ht="15" customHeight="1" x14ac:dyDescent="0.25">
      <c r="A23" s="1"/>
      <c r="B23" s="33" t="s">
        <v>42</v>
      </c>
      <c r="C23" s="28"/>
      <c r="D23" s="19"/>
      <c r="E23" s="1"/>
    </row>
    <row r="24" spans="1:5" ht="15" customHeight="1" x14ac:dyDescent="0.25">
      <c r="A24" s="1"/>
      <c r="B24" s="84"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457959.12401819997</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-9159.1824803639993</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448799.94153783598</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100692622.77166116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jRmbSbanUIIGkPpMtmgRyvnlSh4Bi/whpHfIMU0X1osRDrT1smuhiILH4rzbuMNGgX3UrT73lXEDbS0N3utDBA==" saltValue="/1OvxZXQ07MYZQFnW96am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HUFVcF1SH+TJRHBMwhnafNuqh3KmqoIvBw1UpJ1CcsXwoaX0wW7XR0rR6U/wr7F5rZbvC1FTRwrko1g3XRdBkw==" saltValue="bwvD586zwclM47Sxbqbns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74293352.415319547</v>
      </c>
      <c r="D9" s="8" t="s">
        <v>3</v>
      </c>
      <c r="E9" s="1"/>
    </row>
    <row r="10" spans="1:5" ht="15" customHeight="1" x14ac:dyDescent="0.25">
      <c r="A10" s="1"/>
      <c r="B10" s="26" t="s">
        <v>19</v>
      </c>
      <c r="C10" s="7">
        <f>C9*'Fane 15. Nøgletal'!C10</f>
        <v>4925649.2651356859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-377430.04117240617</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78841571.639282838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27606110.793605275</v>
      </c>
      <c r="D16" s="11" t="s">
        <v>3</v>
      </c>
      <c r="E16" s="1"/>
    </row>
    <row r="17" spans="1:5" ht="15" customHeight="1" x14ac:dyDescent="0.25">
      <c r="A17" s="1"/>
      <c r="B17" s="33" t="s">
        <v>42</v>
      </c>
      <c r="C17" s="28"/>
      <c r="D17" s="19"/>
      <c r="E17" s="1"/>
    </row>
    <row r="18" spans="1:5" ht="15" customHeight="1" x14ac:dyDescent="0.25">
      <c r="A18" s="1"/>
      <c r="B18" s="84"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106447682.43288812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MPJzjXRk3PZ+Dlgaxar+mFeQgeEzJCTpuT0MiIA78lFjn7kyglpRQ/CMzXMQDbeAS1JaNHreXBjLL81hvebOA==" saltValue="uCQPmNFIvt3DqTlkJjTrv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78841571.639282838</v>
      </c>
      <c r="D9" s="8" t="s">
        <v>3</v>
      </c>
      <c r="E9" s="1"/>
    </row>
    <row r="10" spans="1:5" ht="15" customHeight="1" x14ac:dyDescent="0.25">
      <c r="A10" s="1"/>
      <c r="B10" s="26" t="s">
        <v>19</v>
      </c>
      <c r="C10" s="7">
        <f>SUM(C9:C9)*'Fane 15. Nøgletal'!C10</f>
        <v>5227196.1996844523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-394404.57984409394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83674363.259123206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28393001.129521307</v>
      </c>
      <c r="D16" s="11" t="s">
        <v>3</v>
      </c>
      <c r="E16" s="1"/>
    </row>
    <row r="17" spans="1:5" ht="15" customHeight="1" x14ac:dyDescent="0.25">
      <c r="A17" s="1"/>
      <c r="B17" s="33" t="s">
        <v>42</v>
      </c>
      <c r="C17" s="28"/>
      <c r="D17" s="19"/>
      <c r="E17" s="1"/>
    </row>
    <row r="18" spans="1:5" ht="15" customHeight="1" x14ac:dyDescent="0.25">
      <c r="A18" s="1"/>
      <c r="B18" s="84"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112067364.38864452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Kf0RDoUTrJjap3hfM0eVGJRcOSXHoaFeILNtGZW0pyBmagmAGzZHeLCqIGZJLWAq0hBaRhDwY0/LAJ75Cx4cA==" saltValue="YfxNkF45iXdqN+8qdGnmI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6"/>
      <c r="C6" s="76"/>
      <c r="D6" s="76"/>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83674363.259123206</v>
      </c>
      <c r="D9" s="8" t="s">
        <v>3</v>
      </c>
      <c r="E9" s="1"/>
    </row>
    <row r="10" spans="1:5" ht="15" customHeight="1" x14ac:dyDescent="0.25">
      <c r="A10" s="1"/>
      <c r="B10" s="26" t="s">
        <v>19</v>
      </c>
      <c r="C10" s="7">
        <f>SUM(C9:C9)*'Fane 15. Nøgletal'!C10</f>
        <v>5547610.2840798683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-412142.53141800221</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88809831.011785075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30275457.10440857</v>
      </c>
      <c r="D16" s="11" t="s">
        <v>3</v>
      </c>
      <c r="E16" s="1"/>
    </row>
    <row r="17" spans="1:5" ht="15" customHeight="1" x14ac:dyDescent="0.25">
      <c r="A17" s="1"/>
      <c r="B17" s="33" t="s">
        <v>42</v>
      </c>
      <c r="C17" s="28"/>
      <c r="D17" s="19"/>
      <c r="E17" s="1"/>
    </row>
    <row r="18" spans="1:5" ht="15" customHeight="1" x14ac:dyDescent="0.25">
      <c r="A18" s="1"/>
      <c r="B18" s="84"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119085288.11619365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1pZTQqOhPMkz6cFDNl7GD50aWPjQVScUeoVvjZCY1HY0aSkhzznII7UnrexH/cnjF1T7309FgUZpbzCCDa6d4g==" saltValue="A1lmPo16wkdvoBxswoVRJ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60541350.017642535</v>
      </c>
      <c r="D9" s="8" t="s">
        <v>3</v>
      </c>
      <c r="E9" s="1"/>
    </row>
    <row r="10" spans="1:5" ht="15" customHeight="1" x14ac:dyDescent="0.25">
      <c r="A10" s="1"/>
      <c r="B10" s="64" t="s">
        <v>35</v>
      </c>
      <c r="C10" s="7">
        <v>624665.67441600002</v>
      </c>
      <c r="D10" s="8" t="s">
        <v>3</v>
      </c>
      <c r="E10" s="1"/>
    </row>
    <row r="11" spans="1:5" ht="15" customHeight="1" x14ac:dyDescent="0.25">
      <c r="A11" s="1"/>
      <c r="B11" s="64" t="s">
        <v>36</v>
      </c>
      <c r="C11" s="9">
        <v>2490184.8160000001</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5143421.0010511298</v>
      </c>
      <c r="D16" s="8" t="s">
        <v>3</v>
      </c>
      <c r="E16" s="1"/>
    </row>
    <row r="17" spans="1:5" ht="15" customHeight="1" x14ac:dyDescent="0.25">
      <c r="A17" s="1"/>
      <c r="B17" s="64" t="s">
        <v>10</v>
      </c>
      <c r="C17" s="38">
        <v>0</v>
      </c>
      <c r="D17" s="8" t="s">
        <v>3</v>
      </c>
      <c r="E17" s="1"/>
    </row>
    <row r="18" spans="1:5" ht="15" customHeight="1" x14ac:dyDescent="0.25">
      <c r="A18" s="1"/>
      <c r="B18" s="64" t="s">
        <v>22</v>
      </c>
      <c r="C18" s="38">
        <v>-338761.83073834301</v>
      </c>
      <c r="D18" s="8" t="s">
        <v>3</v>
      </c>
      <c r="E18" s="1"/>
    </row>
    <row r="19" spans="1:5" ht="15" customHeight="1" x14ac:dyDescent="0.25">
      <c r="A19" s="1"/>
      <c r="B19" s="64" t="s">
        <v>23</v>
      </c>
      <c r="C19" s="38">
        <v>0</v>
      </c>
      <c r="D19" s="8" t="s">
        <v>3</v>
      </c>
      <c r="E19" s="43"/>
    </row>
    <row r="20" spans="1:5" ht="15" customHeight="1" x14ac:dyDescent="0.25">
      <c r="A20" s="1"/>
      <c r="B20" s="84" t="s">
        <v>21</v>
      </c>
      <c r="C20" s="10">
        <v>68460859.678371325</v>
      </c>
      <c r="D20" s="11" t="s">
        <v>3</v>
      </c>
      <c r="E20" s="1"/>
    </row>
    <row r="21" spans="1:5" ht="15" customHeight="1" x14ac:dyDescent="0.25">
      <c r="A21" s="1"/>
      <c r="B21" s="33" t="s">
        <v>12</v>
      </c>
      <c r="C21" s="28"/>
      <c r="D21" s="19"/>
      <c r="E21" s="1"/>
    </row>
    <row r="22" spans="1:5" ht="15" customHeight="1" x14ac:dyDescent="0.25">
      <c r="A22" s="1"/>
      <c r="B22" s="31" t="s">
        <v>12</v>
      </c>
      <c r="C22" s="10">
        <v>26400413.814543359</v>
      </c>
      <c r="D22" s="11" t="s">
        <v>3</v>
      </c>
      <c r="E22" s="1"/>
    </row>
    <row r="23" spans="1:5" ht="15" customHeight="1" x14ac:dyDescent="0.25">
      <c r="A23" s="1"/>
      <c r="B23" s="33" t="s">
        <v>42</v>
      </c>
      <c r="C23" s="28"/>
      <c r="D23" s="19"/>
      <c r="E23" s="1"/>
    </row>
    <row r="24" spans="1:5" ht="15" customHeight="1" x14ac:dyDescent="0.25">
      <c r="A24" s="1"/>
      <c r="B24" s="84" t="s">
        <v>42</v>
      </c>
      <c r="C24" s="10">
        <v>0</v>
      </c>
      <c r="D24" s="11" t="s">
        <v>3</v>
      </c>
      <c r="E24" s="1"/>
    </row>
    <row r="25" spans="1:5" x14ac:dyDescent="0.25">
      <c r="A25" s="1"/>
      <c r="B25" s="41" t="s">
        <v>41</v>
      </c>
      <c r="C25" s="39"/>
      <c r="D25" s="40"/>
      <c r="E25" s="1"/>
    </row>
    <row r="26" spans="1:5" ht="15" customHeight="1" x14ac:dyDescent="0.25">
      <c r="A26" s="1"/>
      <c r="B26" s="64" t="s">
        <v>89</v>
      </c>
      <c r="C26" s="71">
        <v>98251.29991039999</v>
      </c>
      <c r="D26" s="8" t="s">
        <v>3</v>
      </c>
      <c r="E26" s="1"/>
    </row>
    <row r="27" spans="1:5" ht="15" customHeight="1" x14ac:dyDescent="0.25">
      <c r="A27" s="1"/>
      <c r="B27" s="64" t="s">
        <v>38</v>
      </c>
      <c r="C27" s="72">
        <v>0</v>
      </c>
      <c r="D27" s="8" t="s">
        <v>3</v>
      </c>
      <c r="E27" s="1"/>
    </row>
    <row r="28" spans="1:5" ht="15" customHeight="1" x14ac:dyDescent="0.25">
      <c r="A28" s="1"/>
      <c r="B28" s="64" t="s">
        <v>92</v>
      </c>
      <c r="C28" s="73">
        <v>-1965.0259982079999</v>
      </c>
      <c r="D28" s="8" t="s">
        <v>3</v>
      </c>
      <c r="E28" s="1"/>
    </row>
    <row r="29" spans="1:5" ht="15" customHeight="1" x14ac:dyDescent="0.25">
      <c r="A29" s="1"/>
      <c r="B29" s="64" t="s">
        <v>93</v>
      </c>
      <c r="C29" s="72">
        <v>0</v>
      </c>
      <c r="D29" s="8" t="s">
        <v>3</v>
      </c>
      <c r="E29" s="1"/>
    </row>
    <row r="30" spans="1:5" ht="15" customHeight="1" x14ac:dyDescent="0.25">
      <c r="A30" s="1"/>
      <c r="B30" s="67" t="s">
        <v>43</v>
      </c>
      <c r="C30" s="10">
        <v>96286.273912191988</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94957559.766826868</v>
      </c>
      <c r="D37" s="30" t="s">
        <v>3</v>
      </c>
      <c r="E37" s="1"/>
    </row>
    <row r="38" spans="1:5" ht="30" customHeight="1" x14ac:dyDescent="0.25">
      <c r="A38" s="1"/>
      <c r="B38" s="109" t="s">
        <v>223</v>
      </c>
      <c r="C38" s="109"/>
      <c r="D38" s="109"/>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kznKRdXKz1UJlgBySe3JMXgPWJj2V17KmWCgP7hQ9F0iInUVLjkotEjLROFVfmgB9jIcFzIFiEtbPEwnX3qEJA==" saltValue="0v8kKpRnRT+V/K0C8kokc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7"/>
      <c r="C6" s="77"/>
      <c r="D6" s="77"/>
      <c r="E6" s="1"/>
    </row>
    <row r="7" spans="1:5" x14ac:dyDescent="0.25">
      <c r="A7" s="1"/>
      <c r="B7" s="1"/>
      <c r="C7" s="1"/>
      <c r="D7" s="1"/>
      <c r="E7" s="1"/>
    </row>
    <row r="8" spans="1:5" x14ac:dyDescent="0.25">
      <c r="A8" s="1"/>
      <c r="B8" s="110" t="s">
        <v>123</v>
      </c>
      <c r="C8" s="111"/>
      <c r="D8" s="112"/>
      <c r="E8" s="1"/>
    </row>
    <row r="9" spans="1:5" x14ac:dyDescent="0.25">
      <c r="A9" s="1"/>
      <c r="B9" s="65" t="s">
        <v>88</v>
      </c>
      <c r="C9" s="23">
        <v>16262952.876008336</v>
      </c>
      <c r="D9" s="14" t="s">
        <v>3</v>
      </c>
      <c r="E9" s="1"/>
    </row>
    <row r="10" spans="1:5" x14ac:dyDescent="0.25">
      <c r="A10" s="1"/>
      <c r="B10" s="65" t="s">
        <v>125</v>
      </c>
      <c r="C10" s="23">
        <f>('Fane 3. Omkostninger i ØR2024'!C10+'Fane 3. Omkostninger i ØR2024'!C12+'Fane 3. Omkostninger i ØR2024'!C14)*(1+'Fane 15. Nøgletal'!C9)</f>
        <v>675138.66090881277</v>
      </c>
      <c r="D10" s="14" t="s">
        <v>3</v>
      </c>
      <c r="E10" s="1"/>
    </row>
    <row r="11" spans="1:5" x14ac:dyDescent="0.25">
      <c r="A11" s="1"/>
      <c r="B11" s="65" t="s">
        <v>131</v>
      </c>
      <c r="C11" s="23">
        <f>C9*'Fane 15. Nøgletal'!C21+C10*'Fane 15. Nøgletal'!C21</f>
        <v>338761.83073834301</v>
      </c>
      <c r="D11" s="14" t="s">
        <v>3</v>
      </c>
      <c r="E11" s="1"/>
    </row>
    <row r="12" spans="1:5" x14ac:dyDescent="0.25">
      <c r="A12" s="1"/>
      <c r="B12" s="33"/>
      <c r="C12" s="28"/>
      <c r="D12" s="19"/>
      <c r="E12" s="1"/>
    </row>
    <row r="13" spans="1:5" x14ac:dyDescent="0.25">
      <c r="A13" s="1"/>
      <c r="B13" s="1"/>
      <c r="C13" s="1"/>
      <c r="D13" s="1"/>
      <c r="E13" s="1"/>
    </row>
    <row r="14" spans="1:5" x14ac:dyDescent="0.25">
      <c r="A14" s="1"/>
      <c r="B14" s="110" t="s">
        <v>124</v>
      </c>
      <c r="C14" s="111"/>
      <c r="D14" s="112"/>
      <c r="E14" s="1"/>
    </row>
    <row r="15" spans="1:5" x14ac:dyDescent="0.25">
      <c r="A15" s="1"/>
      <c r="B15" s="65" t="s">
        <v>133</v>
      </c>
      <c r="C15" s="23">
        <f>(C9+C10-C11)*(1+'Fane 15. Nøgletal'!C9)</f>
        <v>17940555.546438053</v>
      </c>
      <c r="D15" s="14" t="s">
        <v>3</v>
      </c>
      <c r="E15" s="1"/>
    </row>
    <row r="16" spans="1:5" x14ac:dyDescent="0.25">
      <c r="A16" s="1"/>
      <c r="B16" s="65" t="s">
        <v>184</v>
      </c>
      <c r="C16" s="23">
        <f>('Fane 2.1. Økonomisk ramme 2025'!C10+'Fane 2.1. Økonomisk ramme 2025'!C12+'Fane 2.1. Økonomisk ramme 2025'!C14)*(1+'Fane 15. Nøgletal'!C10)</f>
        <v>118747.4205451516</v>
      </c>
      <c r="D16" s="14" t="s">
        <v>3</v>
      </c>
      <c r="E16" s="1"/>
    </row>
    <row r="17" spans="1:5" x14ac:dyDescent="0.25">
      <c r="A17" s="1"/>
      <c r="B17" s="65" t="s">
        <v>132</v>
      </c>
      <c r="C17" s="23">
        <f>C15*'Fane 15. Nøgletal'!C21+C16*'Fane 15. Nøgletal'!C21</f>
        <v>361186.05933966412</v>
      </c>
      <c r="D17" s="14" t="s">
        <v>3</v>
      </c>
      <c r="E17" s="1"/>
    </row>
    <row r="18" spans="1:5" x14ac:dyDescent="0.25">
      <c r="A18" s="1"/>
      <c r="B18" s="33"/>
      <c r="C18" s="28"/>
      <c r="D18" s="19"/>
      <c r="E18" s="1"/>
    </row>
    <row r="19" spans="1:5" x14ac:dyDescent="0.25">
      <c r="A19" s="1"/>
      <c r="B19" s="1"/>
      <c r="C19" s="63"/>
      <c r="D19" s="1"/>
      <c r="E19" s="1"/>
    </row>
    <row r="20" spans="1:5" x14ac:dyDescent="0.25">
      <c r="A20" s="1"/>
      <c r="B20" s="110" t="s">
        <v>145</v>
      </c>
      <c r="C20" s="111"/>
      <c r="D20" s="112"/>
      <c r="E20" s="1"/>
    </row>
    <row r="21" spans="1:5" x14ac:dyDescent="0.25">
      <c r="A21" s="1"/>
      <c r="B21" s="65" t="s">
        <v>189</v>
      </c>
      <c r="C21" s="23">
        <f>(C15+C16-C17)*(1+'Fane 15. Nøgletal'!C10)</f>
        <v>18871502.058620308</v>
      </c>
      <c r="D21" s="14" t="s">
        <v>3</v>
      </c>
      <c r="E21" s="1"/>
    </row>
    <row r="22" spans="1:5" x14ac:dyDescent="0.25">
      <c r="A22" s="1"/>
      <c r="B22" s="65" t="s">
        <v>196</v>
      </c>
      <c r="C22" s="23">
        <f>C21*'Fane 15. Nøgletal'!C21</f>
        <v>377430.04117240617</v>
      </c>
      <c r="D22" s="14" t="s">
        <v>3</v>
      </c>
      <c r="E22" s="1"/>
    </row>
    <row r="23" spans="1:5" x14ac:dyDescent="0.25">
      <c r="A23" s="1"/>
      <c r="B23" s="33"/>
      <c r="C23" s="28"/>
      <c r="D23" s="19"/>
      <c r="E23" s="1"/>
    </row>
    <row r="24" spans="1:5" x14ac:dyDescent="0.25">
      <c r="A24" s="1"/>
      <c r="B24" s="1"/>
      <c r="C24" s="1"/>
      <c r="D24" s="1"/>
      <c r="E24" s="1"/>
    </row>
    <row r="25" spans="1:5" x14ac:dyDescent="0.25">
      <c r="A25" s="1"/>
      <c r="B25" s="110" t="s">
        <v>187</v>
      </c>
      <c r="C25" s="111"/>
      <c r="D25" s="112"/>
      <c r="E25" s="1"/>
    </row>
    <row r="26" spans="1:5" x14ac:dyDescent="0.25">
      <c r="A26" s="1"/>
      <c r="B26" s="65" t="s">
        <v>190</v>
      </c>
      <c r="C26" s="23">
        <f>(C21-C22)*(1+'Fane 15. Nøgletal'!C10)</f>
        <v>19720228.992204696</v>
      </c>
      <c r="D26" s="14" t="s">
        <v>3</v>
      </c>
      <c r="E26" s="1"/>
    </row>
    <row r="27" spans="1:5" x14ac:dyDescent="0.25">
      <c r="A27" s="1"/>
      <c r="B27" s="65" t="s">
        <v>194</v>
      </c>
      <c r="C27" s="23">
        <f>C26*'Fane 15. Nøgletal'!C21</f>
        <v>394404.57984409394</v>
      </c>
      <c r="D27" s="14" t="s">
        <v>3</v>
      </c>
      <c r="E27" s="1"/>
    </row>
    <row r="28" spans="1:5" x14ac:dyDescent="0.25">
      <c r="A28" s="1"/>
      <c r="B28" s="33"/>
      <c r="C28" s="28"/>
      <c r="D28" s="19"/>
      <c r="E28" s="1"/>
    </row>
    <row r="29" spans="1:5" x14ac:dyDescent="0.25">
      <c r="A29" s="1"/>
      <c r="B29" s="1"/>
      <c r="C29" s="1"/>
      <c r="D29" s="1"/>
      <c r="E29" s="1"/>
    </row>
    <row r="30" spans="1:5" x14ac:dyDescent="0.25">
      <c r="A30" s="1"/>
      <c r="B30" s="110" t="s">
        <v>188</v>
      </c>
      <c r="C30" s="111"/>
      <c r="D30" s="112"/>
      <c r="E30" s="1"/>
    </row>
    <row r="31" spans="1:5" x14ac:dyDescent="0.25">
      <c r="A31" s="1"/>
      <c r="B31" s="65" t="s">
        <v>191</v>
      </c>
      <c r="C31" s="23">
        <f>(C26-C27)*(1+'Fane 15. Nøgletal'!C10)</f>
        <v>20607126.570900109</v>
      </c>
      <c r="D31" s="14" t="s">
        <v>3</v>
      </c>
      <c r="E31" s="1"/>
    </row>
    <row r="32" spans="1:5" x14ac:dyDescent="0.25">
      <c r="A32" s="1"/>
      <c r="B32" s="65" t="s">
        <v>195</v>
      </c>
      <c r="C32" s="23">
        <f>C31*'Fane 15. Nøgletal'!C21</f>
        <v>412142.53141800221</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uoBlcLGDETHYYUktSjXmjm+Km2ZrP0UqWLCwX5QGFf7YV7knI3K/fsesLn2/Jo7fGCAX8BMy4mBcSzi81SSg==" saltValue="2uGZCAy+rYH6Kp1bSF4R6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3" t="s">
        <v>57</v>
      </c>
      <c r="C3" s="113"/>
      <c r="D3" s="113"/>
      <c r="E3" s="1"/>
    </row>
    <row r="4" spans="1:5" ht="15" customHeight="1" x14ac:dyDescent="0.25">
      <c r="A4" s="1"/>
      <c r="B4" s="113"/>
      <c r="C4" s="113"/>
      <c r="D4" s="113"/>
      <c r="E4" s="1"/>
    </row>
    <row r="5" spans="1:5" ht="15" customHeight="1" x14ac:dyDescent="0.25">
      <c r="A5" s="1"/>
      <c r="B5" s="113"/>
      <c r="C5" s="113"/>
      <c r="D5" s="113"/>
      <c r="E5" s="1"/>
    </row>
    <row r="6" spans="1:5" ht="15" customHeight="1" x14ac:dyDescent="0.35">
      <c r="A6" s="1"/>
      <c r="B6" s="69"/>
      <c r="C6" s="69"/>
      <c r="D6" s="69"/>
      <c r="E6" s="1"/>
    </row>
    <row r="7" spans="1:5" x14ac:dyDescent="0.25">
      <c r="A7" s="1"/>
      <c r="B7" s="1"/>
      <c r="C7" s="1"/>
      <c r="D7" s="1"/>
      <c r="E7" s="1"/>
    </row>
    <row r="8" spans="1:5" x14ac:dyDescent="0.25">
      <c r="A8" s="1"/>
      <c r="B8" s="110" t="s">
        <v>147</v>
      </c>
      <c r="C8" s="111"/>
      <c r="D8" s="112"/>
      <c r="E8" s="1"/>
    </row>
    <row r="9" spans="1:5" x14ac:dyDescent="0.25">
      <c r="A9" s="1"/>
      <c r="B9" s="65" t="s">
        <v>134</v>
      </c>
      <c r="C9" s="23">
        <v>52851950.690040022</v>
      </c>
      <c r="D9" s="14" t="s">
        <v>3</v>
      </c>
      <c r="E9" s="1"/>
    </row>
    <row r="10" spans="1:5" x14ac:dyDescent="0.25">
      <c r="A10" s="1"/>
      <c r="B10" s="65" t="s">
        <v>126</v>
      </c>
      <c r="C10" s="23">
        <f>('Fane 3. Omkostninger i ØR2024'!C11+'Fane 3. Omkostninger i ØR2024'!C13+'Fane 3. Omkostninger i ØR2024'!C15)*(1+'Fane 15. Nøgletal'!C9)</f>
        <v>2691391.7491327999</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0" t="s">
        <v>146</v>
      </c>
      <c r="C14" s="111"/>
      <c r="D14" s="112"/>
      <c r="E14" s="1"/>
    </row>
    <row r="15" spans="1:5" x14ac:dyDescent="0.25">
      <c r="A15" s="1"/>
      <c r="B15" s="65" t="s">
        <v>136</v>
      </c>
      <c r="C15" s="23">
        <f>(C9+C10-C11)*(1+'Fane 15. Nøgletal'!C9)</f>
        <v>60031244.508257985</v>
      </c>
      <c r="D15" s="14" t="s">
        <v>3</v>
      </c>
      <c r="E15" s="1"/>
    </row>
    <row r="16" spans="1:5" x14ac:dyDescent="0.25">
      <c r="A16" s="1"/>
      <c r="B16" s="65" t="s">
        <v>185</v>
      </c>
      <c r="C16" s="23">
        <f>('Fane 2.1. Økonomisk ramme 2025'!C11+'Fane 2.1. Økonomisk ramme 2025'!C13+'Fane 2.1. Økonomisk ramme 2025'!C15)*(1+'Fane 15. Nøgletal'!C10)</f>
        <v>543293.9137303303</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0" t="s">
        <v>82</v>
      </c>
      <c r="C20" s="111"/>
      <c r="D20" s="112"/>
      <c r="E20" s="1"/>
    </row>
    <row r="21" spans="1:5" x14ac:dyDescent="0.25">
      <c r="A21" s="1"/>
      <c r="B21" s="65" t="s">
        <v>192</v>
      </c>
      <c r="C21" s="23">
        <f>(C15+C16-C17)*(1+'Fane 15. Nøgletal'!C10)</f>
        <v>64590630.319366142</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0" t="s">
        <v>138</v>
      </c>
      <c r="C25" s="111"/>
      <c r="D25" s="112"/>
      <c r="E25" s="1"/>
    </row>
    <row r="26" spans="1:5" x14ac:dyDescent="0.25">
      <c r="A26" s="1"/>
      <c r="B26" s="65" t="s">
        <v>193</v>
      </c>
      <c r="C26" s="23">
        <f>(C21-C22)*(1+'Fane 15. Nøgletal'!C10)</f>
        <v>68872989.10954012</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0" t="s">
        <v>163</v>
      </c>
      <c r="C30" s="111"/>
      <c r="D30" s="112"/>
      <c r="E30" s="1"/>
    </row>
    <row r="31" spans="1:5" x14ac:dyDescent="0.25">
      <c r="A31" s="1"/>
      <c r="B31" s="65" t="s">
        <v>200</v>
      </c>
      <c r="C31" s="23">
        <f>(C26-C27)*(1+'Fane 15. Nøgletal'!C10)</f>
        <v>73439268.287502632</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QQbUwkgn9Dirw33VXvrc8idUOe4cxDM6ohV8MykY0WKh0/RP5RGtQulNexatnmHssCQm7iVm3XMDFEwUyVKpw==" saltValue="3uqRLTKjuUO3fE2m0V/do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44</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0" t="s">
        <v>10</v>
      </c>
      <c r="C8" s="112"/>
      <c r="D8" s="1"/>
    </row>
    <row r="9" spans="1:4" x14ac:dyDescent="0.25">
      <c r="A9" s="1"/>
      <c r="B9" s="65" t="s">
        <v>164</v>
      </c>
      <c r="C9" s="22">
        <v>0</v>
      </c>
      <c r="D9" s="1"/>
    </row>
    <row r="10" spans="1:4" x14ac:dyDescent="0.25">
      <c r="A10" s="1"/>
      <c r="B10" s="33"/>
      <c r="C10" s="19"/>
      <c r="D10" s="1"/>
    </row>
    <row r="11" spans="1:4" x14ac:dyDescent="0.25">
      <c r="A11" s="1"/>
      <c r="B11" s="114" t="s">
        <v>218</v>
      </c>
      <c r="C11" s="115"/>
      <c r="D11" s="1"/>
    </row>
    <row r="12" spans="1:4" x14ac:dyDescent="0.25">
      <c r="A12" s="1"/>
      <c r="B12" s="116"/>
      <c r="C12" s="11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ukiudfYb1SXxV5Kl2gZ77RWFpg0O7HaUPa+ig1Bw+z3DphwLW1OofuL2GwhdMJKQen4KHzmXEX/iOBB2aqGS2g==" saltValue="WuwawMM/McATwYhihYr5H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2024-08-30T10:03:57Z</dcterms:modified>
</cp:coreProperties>
</file>