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ilkeborg Spildevand AS (S083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6" i="40" l="1"/>
  <c r="E12" i="40"/>
  <c r="G26" i="30"/>
  <c r="E25" i="32" l="1"/>
  <c r="E30" i="32" s="1"/>
  <c r="E32" i="32" s="1"/>
  <c r="C32" i="2" l="1"/>
  <c r="C26" i="15"/>
  <c r="C14" i="19"/>
  <c r="E11" i="11" l="1"/>
  <c r="E12" i="11"/>
  <c r="E13" i="11"/>
  <c r="E14" i="11"/>
  <c r="E15" i="11"/>
  <c r="E16" i="11"/>
  <c r="G33" i="36" l="1"/>
  <c r="G25" i="36"/>
  <c r="G32" i="36" s="1"/>
  <c r="G7" i="36"/>
  <c r="G11" i="36" s="1"/>
  <c r="G34" i="30"/>
  <c r="G14" i="36" l="1"/>
  <c r="G18" i="36" s="1"/>
  <c r="G20" i="36" l="1"/>
  <c r="G24" i="36"/>
  <c r="G31" i="36" s="1"/>
  <c r="G35" i="36" l="1"/>
  <c r="E23" i="27" s="1"/>
  <c r="G39" i="36" l="1"/>
  <c r="E11" i="20" l="1"/>
  <c r="G33" i="30" l="1"/>
  <c r="E10" i="20" l="1"/>
  <c r="E12" i="20" s="1"/>
  <c r="E17" i="11" l="1"/>
  <c r="E18" i="11"/>
  <c r="E10" i="11"/>
  <c r="G7" i="30" l="1"/>
  <c r="G11" i="30" s="1"/>
  <c r="E29" i="20" l="1"/>
  <c r="E23" i="20"/>
  <c r="E17" i="20"/>
  <c r="E17" i="40" l="1"/>
  <c r="C30" i="2" s="1"/>
  <c r="E28" i="20"/>
  <c r="E16" i="20"/>
  <c r="E18" i="20" s="1"/>
  <c r="E22" i="20"/>
  <c r="E24" i="20" s="1"/>
  <c r="C19" i="22" s="1"/>
  <c r="C20" i="15" l="1"/>
  <c r="C24" i="2"/>
  <c r="E30" i="20"/>
  <c r="C19" i="23" s="1"/>
  <c r="E29" i="21" l="1"/>
  <c r="E30" i="21" s="1"/>
  <c r="G59" i="36" s="1"/>
  <c r="C29" i="21"/>
  <c r="C30" i="21" s="1"/>
  <c r="G61" i="30" s="1"/>
  <c r="E23" i="21"/>
  <c r="E24" i="21" s="1"/>
  <c r="G53" i="36" s="1"/>
  <c r="C23" i="21"/>
  <c r="C24" i="21" s="1"/>
  <c r="G55" i="30" s="1"/>
  <c r="E17" i="21"/>
  <c r="E18" i="21" s="1"/>
  <c r="C17" i="21"/>
  <c r="C18" i="21" s="1"/>
  <c r="G48" i="30" s="1"/>
  <c r="G47" i="36" l="1"/>
  <c r="C9" i="22"/>
  <c r="C10" i="23"/>
  <c r="C10" i="22"/>
  <c r="C10" i="15"/>
  <c r="C9" i="23"/>
  <c r="C11" i="15"/>
  <c r="E35" i="39"/>
  <c r="C35" i="39"/>
  <c r="E27" i="39"/>
  <c r="C27" i="39"/>
  <c r="E19" i="39"/>
  <c r="C19" i="39"/>
  <c r="E11" i="39"/>
  <c r="E13" i="39" s="1"/>
  <c r="C11" i="39"/>
  <c r="E12" i="39" l="1"/>
  <c r="C21" i="39"/>
  <c r="C20" i="39"/>
  <c r="C37" i="39"/>
  <c r="C36" i="39"/>
  <c r="E21" i="39"/>
  <c r="E20" i="39"/>
  <c r="E37" i="39"/>
  <c r="E36" i="39"/>
  <c r="C13" i="39"/>
  <c r="C12" i="39"/>
  <c r="C29" i="39"/>
  <c r="C28" i="39"/>
  <c r="E29" i="39"/>
  <c r="E28" i="39"/>
  <c r="C30" i="39" l="1"/>
  <c r="C21" i="22" s="1"/>
  <c r="C38" i="39"/>
  <c r="C21" i="23" s="1"/>
  <c r="C22" i="39"/>
  <c r="C22" i="15" s="1"/>
  <c r="E22" i="39"/>
  <c r="C23" i="15" s="1"/>
  <c r="E30" i="39"/>
  <c r="C22" i="22" s="1"/>
  <c r="E38" i="39"/>
  <c r="C22" i="23" s="1"/>
  <c r="E14" i="39"/>
  <c r="C27" i="2" s="1"/>
  <c r="C14" i="39"/>
  <c r="C26" i="2" s="1"/>
  <c r="C23" i="22" l="1"/>
  <c r="C23" i="23"/>
  <c r="C24" i="15"/>
  <c r="C28" i="2"/>
  <c r="G27" i="36" l="1"/>
  <c r="G15" i="30"/>
  <c r="G19" i="30" l="1"/>
  <c r="G25" i="30" s="1"/>
  <c r="G21" i="30" l="1"/>
  <c r="G28" i="30"/>
  <c r="G32" i="30"/>
  <c r="F19" i="11" l="1"/>
  <c r="C10" i="37" s="1"/>
  <c r="C11" i="37" s="1"/>
  <c r="C12" i="37" s="1"/>
  <c r="C10" i="2" s="1"/>
  <c r="G19" i="11"/>
  <c r="E11" i="21" l="1"/>
  <c r="C11" i="21"/>
  <c r="E11" i="29"/>
  <c r="C11" i="29"/>
  <c r="C15" i="19"/>
  <c r="C17" i="23" l="1"/>
  <c r="C18" i="15"/>
  <c r="C22" i="2"/>
  <c r="E12" i="29"/>
  <c r="C15" i="2" s="1"/>
  <c r="C12" i="29"/>
  <c r="C14" i="2" s="1"/>
  <c r="C12" i="21"/>
  <c r="C12" i="2" s="1"/>
  <c r="E12" i="21"/>
  <c r="C13" i="2" s="1"/>
  <c r="C17" i="22"/>
  <c r="G41" i="30" l="1"/>
  <c r="G47" i="30" s="1"/>
  <c r="G36" i="30"/>
  <c r="E19" i="11"/>
  <c r="E10" i="37" l="1"/>
  <c r="E11" i="37" s="1"/>
  <c r="E12" i="37" s="1"/>
  <c r="C11" i="2" s="1"/>
  <c r="G40" i="36" s="1"/>
  <c r="G40" i="30"/>
  <c r="G42" i="30" s="1"/>
  <c r="G46" i="30" s="1"/>
  <c r="G49" i="30" s="1"/>
  <c r="E22" i="27"/>
  <c r="E24" i="27" s="1"/>
  <c r="G46" i="36" l="1"/>
  <c r="G41" i="36"/>
  <c r="C19" i="2" s="1"/>
  <c r="C18" i="2"/>
  <c r="E35" i="27"/>
  <c r="C9" i="2"/>
  <c r="C14" i="15"/>
  <c r="G45" i="36" l="1"/>
  <c r="G48" i="36" s="1"/>
  <c r="C16" i="2"/>
  <c r="C17" i="2" s="1"/>
  <c r="G54" i="30"/>
  <c r="G52" i="36" l="1"/>
  <c r="G54" i="36" s="1"/>
  <c r="C14" i="22" s="1"/>
  <c r="C20" i="2"/>
  <c r="C35" i="2" s="1"/>
  <c r="C15" i="15"/>
  <c r="G56" i="30"/>
  <c r="C13" i="22" s="1"/>
  <c r="G58" i="36" l="1"/>
  <c r="G60" i="30"/>
  <c r="G62" i="30" s="1"/>
  <c r="C13" i="23" s="1"/>
  <c r="C9" i="15"/>
  <c r="C12" i="15" s="1"/>
  <c r="G60" i="36" l="1"/>
  <c r="C14" i="23" s="1"/>
  <c r="C13" i="15"/>
  <c r="C16" i="15" s="1"/>
  <c r="C29" i="15" s="1"/>
  <c r="C8" i="22" l="1"/>
  <c r="C11" i="22" l="1"/>
  <c r="C12" i="22" s="1"/>
  <c r="C15" i="22" s="1"/>
  <c r="C26" i="22" s="1"/>
  <c r="C8" i="23" l="1"/>
  <c r="C11" i="23" s="1"/>
  <c r="C12" i="23" s="1"/>
  <c r="C15" i="23" l="1"/>
  <c r="C24" i="23" s="1"/>
</calcChain>
</file>

<file path=xl/sharedStrings.xml><?xml version="1.0" encoding="utf-8"?>
<sst xmlns="http://schemas.openxmlformats.org/spreadsheetml/2006/main" count="737" uniqueCount="298">
  <si>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</si>
  <si>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</si>
  <si>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</si>
  <si>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</si>
  <si>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</si>
  <si>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</si>
  <si>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</si>
  <si>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</si>
  <si>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</si>
  <si>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</si>
  <si>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</si>
  <si>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</si>
  <si>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</si>
  <si>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</si>
  <si>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</si>
  <si>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</si>
  <si>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</si>
  <si>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</si>
  <si>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</si>
  <si>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</si>
  <si>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</si>
  <si>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</si>
  <si>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</si>
  <si>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</si>
  <si>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</si>
  <si>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</si>
  <si>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</si>
  <si>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</si>
  <si>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</si>
  <si>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</si>
  <si>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</si>
  <si>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</si>
  <si>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</si>
  <si>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</si>
  <si>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</si>
  <si>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</si>
  <si>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</si>
  <si>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</si>
  <si>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</si>
  <si>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</si>
  <si>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</si>
  <si>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</si>
  <si>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</si>
  <si>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</si>
  <si>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</si>
  <si>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</si>
  <si>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</si>
  <si>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</si>
  <si>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</si>
  <si>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</si>
  <si>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</si>
  <si>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</si>
  <si>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</si>
  <si>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</si>
  <si>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</si>
  <si>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</si>
  <si>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</si>
  <si>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</si>
  <si>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</si>
  <si>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Generelt effektiviseringskrav til anlægsomkostninger i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</si>
  <si>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</si>
  <si>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</si>
  <si>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</si>
  <si>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</si>
  <si>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</si>
  <si>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</si>
  <si>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</si>
  <si>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</si>
  <si>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</si>
  <si>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</si>
  <si>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</si>
  <si>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</si>
  <si>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</si>
  <si>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</si>
  <si>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</si>
  <si>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</si>
  <si>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</si>
  <si>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</si>
  <si>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</si>
  <si>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</si>
  <si>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</si>
  <si>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</si>
  <si>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</si>
  <si>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</si>
  <si>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</si>
  <si>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</si>
  <si>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</si>
  <si>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</si>
  <si>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</si>
  <si>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</si>
  <si>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</si>
  <si>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</si>
  <si>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</si>
  <si>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</si>
  <si>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</si>
  <si>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</si>
  <si>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</si>
  <si>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</si>
  <si>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</si>
  <si>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</si>
  <si>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</si>
  <si>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</si>
  <si>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</si>
  <si>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</si>
  <si>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</si>
  <si>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</si>
  <si>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</si>
  <si>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</si>
  <si>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</si>
  <si>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</si>
  <si>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</si>
  <si>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</si>
  <si>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</si>
  <si>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</si>
  <si>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</si>
  <si>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</si>
  <si>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</si>
  <si>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</si>
  <si>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</si>
  <si>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</si>
  <si>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</si>
  <si>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</si>
  <si>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ØR2018-2021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</si>
  <si>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</si>
  <si>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</si>
  <si>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</si>
  <si>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</si>
  <si>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</si>
  <si>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</si>
  <si>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 Heraf nye anlægsomkostninger til de økonomiske rammer for 2020</t>
  </si>
  <si>
    <t>- Heraf nye driftsomkostninger til de økonomiske rammer for 2020</t>
  </si>
  <si>
    <t>Periodevise driftsomkostninger i den økonomiske ramme for 2018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</si>
  <si>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</si>
  <si>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</si>
  <si>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</si>
  <si>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</si>
  <si>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</si>
  <si>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Tidligere tilknyttet virksomhed - Drift</t>
  </si>
  <si>
    <t>Tidligere tilknyttet virksomhed - Anlæg</t>
  </si>
  <si>
    <t>Videreførte omkostninger fra den økonomiske ramme for 2023</t>
  </si>
  <si>
    <t>Økonomisk ramme for 2024</t>
  </si>
  <si>
    <t>Tillæg til den økonomiske ramme for 2024</t>
  </si>
  <si>
    <t>Nye tillæg i alt i 2020-prisniveau</t>
  </si>
  <si>
    <t>Engangstillæg i alt i 2022-prisniveau</t>
  </si>
  <si>
    <t>Engangstillæg til de økonomiske rammer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</si>
  <si>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</si>
  <si>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</si>
  <si>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</si>
  <si>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</si>
  <si>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</si>
  <si>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</si>
  <si>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</si>
  <si>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</si>
  <si>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</si>
  <si>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</si>
  <si>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</si>
  <si>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</si>
  <si>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</si>
  <si>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</si>
  <si>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</si>
  <si>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</si>
  <si>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</si>
  <si>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</si>
  <si>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</si>
  <si>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</si>
  <si>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</si>
  <si>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</si>
  <si>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</si>
  <si>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</si>
  <si>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</si>
  <si>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</si>
  <si>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</si>
  <si>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</si>
  <si>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Fane 14: Nøgletal</t>
  </si>
  <si>
    <t>Til økonomiske rammer for 2022 og 2023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</si>
  <si>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</si>
  <si>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</si>
  <si>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</si>
  <si>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</si>
  <si>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</si>
  <si>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</si>
  <si>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</si>
  <si>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</si>
  <si>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</si>
  <si>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</si>
  <si>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</si>
  <si>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</si>
  <si>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</si>
  <si>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Oversigt over den økonomiske ramme for 2021</t>
  </si>
  <si>
    <t>- Heraf nye omkostninger i ØR20 - Drift</t>
  </si>
  <si>
    <t>- Heraf nye omkostninger i ØR20 - Anlæg</t>
  </si>
  <si>
    <t>Generelt effektiviseringskrav til driftsomkostninger i de økonomiske rammer for 2022</t>
  </si>
  <si>
    <t>Generelt effektiviseringskrav til anlægsomkostninger i de økonomiske rammer for 2022</t>
  </si>
  <si>
    <t>Nye anlægsomkostninger til de økonomiske rammer for 2022</t>
  </si>
  <si>
    <t>Generelt effektiviseringskrav til anlægsomkostningerne i ØR22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</si>
  <si>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</si>
  <si>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</si>
  <si>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</si>
  <si>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</si>
  <si>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</si>
  <si>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</si>
  <si>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</si>
  <si>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</si>
  <si>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</si>
  <si>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</si>
  <si>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</si>
  <si>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</si>
  <si>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</si>
  <si>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</si>
  <si>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</si>
  <si>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</si>
  <si>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i alt i 2023-prisniveau</t>
  </si>
  <si>
    <t>Engangstillæg til de økonomiske rammer for 2025</t>
  </si>
  <si>
    <t>Engangstillæg i alt i 2024-prisniveau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</si>
  <si>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</si>
  <si>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</si>
  <si>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</si>
  <si>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</si>
  <si>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</si>
  <si>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</si>
  <si>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</si>
  <si>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Generelt effektiviseringskrav til brug for nye anlægsomkostninger i ØR2022</t>
  </si>
  <si>
    <t>Generelt effektiviseringskrav til anlægsomkostninger i de økonomiske rammer for 2020</t>
  </si>
  <si>
    <t>Generelt effektiviseringskrav til driftsomkostninger i de økonomiske rammer for 2023</t>
  </si>
  <si>
    <t>Generelt effektiviseringskrav til driftsomkostninger i de vejledende økonomiske rammer for 2025</t>
  </si>
  <si>
    <t>Generelt effektiviseringskrav til anlægsomkostninger i de vejledende økonomiske rammer for 2025</t>
  </si>
  <si>
    <t xml:space="preserve">Note: Denne opgørelse er taget fra jeres statusmeddelelse for den økonomiske ramme for 2021. I kan derfor ikke komme med høringssvar til denne opgørelse. </t>
  </si>
  <si>
    <t>- Heraf nye omkostninger i ØR19 - Drift</t>
  </si>
  <si>
    <t>- Heraf nye omkostninger i ØR19 - Anlæg</t>
  </si>
  <si>
    <t>Generelt effektiviseringskrav til driftsomkostninger i de økonomiske rammer for 2017</t>
  </si>
  <si>
    <t>Driftsomkostninger i grundlaget til de økonomiske rammer for 2017</t>
  </si>
  <si>
    <t>Periodevise driftsomkostninger i den økonomiske ramme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</si>
  <si>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</si>
  <si>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</si>
  <si>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</si>
  <si>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- Heraf nye driftsomkostninger til de økonomiske rammer for 2019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</si>
  <si>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</si>
  <si>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</si>
  <si>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</si>
  <si>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anlægsomkostningerne i ØR17</t>
  </si>
  <si>
    <t>Kontrol med overholdelse af den økonomiske ramme for 2020</t>
  </si>
  <si>
    <t>Indtægtsramme i den økonomiske ramme for 2020</t>
  </si>
  <si>
    <t>Faktiske indtægter i 2020</t>
  </si>
  <si>
    <t>Generelt effektiviseringskrav til driftsomkostningerne i ØR22</t>
  </si>
  <si>
    <t>Nye driftsomkostninger til de økonomiske rammer for 2022</t>
  </si>
  <si>
    <t>Base for driftsomkostninger til de økonomiske rammer for 2022</t>
  </si>
  <si>
    <t>Generelt effektiviseringskrav til anlægsomkostninger i de økonomiske rammer for 2017</t>
  </si>
  <si>
    <t>Anlægssomkostninger i grundlaget til de økonomiske rammer for 2017</t>
  </si>
  <si>
    <t>Base for anlægsomkostninger til de økonomiske rammer for 2018</t>
  </si>
  <si>
    <t>Nye anlægsomkostninger til de økonomiske rammer for 2018</t>
  </si>
  <si>
    <t>-Heraf nye anlægsomkostninger til de økonomiske rammer for 2019</t>
  </si>
  <si>
    <t>- Heraf nye anlægsomkostninger til de økonomiske rammer for 2019</t>
  </si>
  <si>
    <t>Base for anlægsomkostninger til de vejledende økonomiske rammer for 2022</t>
  </si>
  <si>
    <t>Generelt effektiviseringskrav til anlægsomkostninger i de vejledende økonomiske rammer for 2023</t>
  </si>
  <si>
    <t>Bortfald af anlægsomkostninger i de økonomiske rammer for 2025</t>
  </si>
  <si>
    <t>Vejledende generelt effektiviseringskrav til anlægsomkostningerne i ØR25</t>
  </si>
  <si>
    <t>Base for driftsomkostninger til de økonomiske rammer for 2023</t>
  </si>
  <si>
    <t>Generelt effektiviseringskrav til driftsomkostningerne i ØR23</t>
  </si>
  <si>
    <t>- Heraf nye driftsomkostninger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</si>
  <si>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</si>
  <si>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</si>
  <si>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</si>
  <si>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 xml:space="preserve">Indtægter fra tilbagebetalt skat eller sambeskatningsbidrag som følge af skattesagen </t>
  </si>
  <si>
    <t xml:space="preserve">Nedsættelse af økonomisk ramme som følge af skattesagen </t>
  </si>
  <si>
    <t>Prisudvikling til brug for ØR2017</t>
  </si>
  <si>
    <t>Generelt effektiviseringskrav til brug for anlægsomkostninger i ØR2017</t>
  </si>
  <si>
    <t>Ledningsnet ≤ Ø 200 mm</t>
  </si>
  <si>
    <t>75</t>
  </si>
  <si>
    <t>Ø 200 mm &lt; Ledningsnet ≤ Ø 500 mm</t>
  </si>
  <si>
    <t>Ø 500 mm &lt; Ledningsnet ≤ Ø 800 mm</t>
  </si>
  <si>
    <t>Ø 800 mm &lt; Ledningsnet ≤ Ø 1000 mm</t>
  </si>
  <si>
    <t>Brønde</t>
  </si>
  <si>
    <t>Kælder</t>
  </si>
  <si>
    <t>Pumpestationer i brønde (&lt; 6,25 m2), Mek/EL</t>
  </si>
  <si>
    <t>20</t>
  </si>
  <si>
    <t>Jordbassin Klasse A</t>
  </si>
  <si>
    <t>50</t>
  </si>
  <si>
    <t>Indløb-/udløbsarrangement</t>
  </si>
  <si>
    <t>Ingen tilknyttet virksomhed</t>
  </si>
  <si>
    <t>Spildevandsafgift</t>
  </si>
  <si>
    <t>Afgift til Forsyningssekretariatet</t>
  </si>
  <si>
    <t>Ejendomsskat</t>
  </si>
  <si>
    <t>Tjenestemandspensioner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</si>
  <si>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</si>
  <si>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</si>
  <si>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</si>
  <si>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</si>
  <si>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</si>
  <si>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</si>
  <si>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</si>
  <si>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</si>
  <si>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</si>
  <si>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</si>
  <si>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</si>
  <si>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Korrektion af den økonomiske ramme for 2019</t>
  </si>
  <si>
    <t>Prisudvikling til brug for ØR2022-2023</t>
  </si>
  <si>
    <t>Ingen engangstillæg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</si>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</sst>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1" xfId="0" applyFont="1" applyFill="1" applyBorder="1" applyAlignment="1" applyProtection="1"/>
    <xf numFmtId="3" fontId="8" fillId="4" borderId="2" xfId="0" applyNumberFormat="1" applyFont="1" applyFill="1" applyBorder="1" applyAlignment="1" applyProtection="1">
      <alignment horizontal="righ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  <xf numFmtId="1" fontId="8" fillId="8" borderId="1" xfId="1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5" t="s">
        <v>4</v>
      </c>
      <c r="E6" s="65"/>
      <c r="F6" s="65"/>
      <c r="G6" s="65"/>
      <c r="H6" s="3"/>
      <c r="I6" s="1"/>
    </row>
    <row r="7" spans="1:9" ht="15" customHeight="1" x14ac:dyDescent="0.45">
      <c r="A7" s="1"/>
      <c r="B7" s="1"/>
      <c r="C7" s="3"/>
      <c r="D7" s="65"/>
      <c r="E7" s="65"/>
      <c r="F7" s="65"/>
      <c r="G7" s="65"/>
      <c r="H7" s="3"/>
      <c r="I7" s="1"/>
    </row>
    <row r="8" spans="1:9" ht="15.75" x14ac:dyDescent="0.5">
      <c r="A8" s="1"/>
      <c r="B8" s="1"/>
      <c r="C8" s="4"/>
      <c r="D8" s="70" t="s">
        <v>174</v>
      </c>
      <c r="E8" s="70"/>
      <c r="F8" s="70"/>
      <c r="G8" s="70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9" t="s">
        <v>5</v>
      </c>
      <c r="E11" s="69"/>
      <c r="F11" s="69"/>
      <c r="G11" s="69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71" t="s">
        <v>175</v>
      </c>
      <c r="E13" s="72"/>
      <c r="F13" s="72"/>
      <c r="G13" s="73"/>
      <c r="H13" s="1"/>
      <c r="I13" s="1"/>
    </row>
    <row r="14" spans="1:9" x14ac:dyDescent="0.45">
      <c r="A14" s="1"/>
      <c r="B14" s="1"/>
      <c r="C14" s="6" t="s">
        <v>17</v>
      </c>
      <c r="D14" s="71" t="s">
        <v>176</v>
      </c>
      <c r="E14" s="72"/>
      <c r="F14" s="72"/>
      <c r="G14" s="73"/>
      <c r="H14" s="1"/>
      <c r="I14" s="1"/>
    </row>
    <row r="15" spans="1:9" x14ac:dyDescent="0.45">
      <c r="A15" s="1"/>
      <c r="B15" s="1"/>
      <c r="C15" s="6" t="s">
        <v>37</v>
      </c>
      <c r="D15" s="71" t="s">
        <v>136</v>
      </c>
      <c r="E15" s="72"/>
      <c r="F15" s="72"/>
      <c r="G15" s="73"/>
      <c r="H15" s="1"/>
      <c r="I15" s="1"/>
    </row>
    <row r="16" spans="1:9" x14ac:dyDescent="0.45">
      <c r="A16" s="1"/>
      <c r="B16" s="1"/>
      <c r="C16" s="6" t="s">
        <v>38</v>
      </c>
      <c r="D16" s="71" t="s">
        <v>177</v>
      </c>
      <c r="E16" s="72"/>
      <c r="F16" s="72"/>
      <c r="G16" s="73"/>
      <c r="H16" s="1"/>
      <c r="I16" s="1"/>
    </row>
    <row r="17" spans="1:9" x14ac:dyDescent="0.45">
      <c r="A17" s="1"/>
      <c r="B17" s="1"/>
      <c r="C17" s="6" t="s">
        <v>132</v>
      </c>
      <c r="D17" s="71" t="s">
        <v>178</v>
      </c>
      <c r="E17" s="72"/>
      <c r="F17" s="72"/>
      <c r="G17" s="73"/>
      <c r="H17" s="1"/>
      <c r="I17" s="1"/>
    </row>
    <row r="18" spans="1:9" x14ac:dyDescent="0.45">
      <c r="A18" s="1"/>
      <c r="B18" s="1"/>
      <c r="C18" s="6" t="s">
        <v>110</v>
      </c>
      <c r="D18" s="74" t="s">
        <v>94</v>
      </c>
      <c r="E18" s="75"/>
      <c r="F18" s="75"/>
      <c r="G18" s="76"/>
      <c r="H18" s="1"/>
      <c r="I18" s="1"/>
    </row>
    <row r="19" spans="1:9" x14ac:dyDescent="0.45">
      <c r="A19" s="1"/>
      <c r="B19" s="1"/>
      <c r="C19" s="6" t="s">
        <v>111</v>
      </c>
      <c r="D19" s="74" t="s">
        <v>95</v>
      </c>
      <c r="E19" s="75"/>
      <c r="F19" s="75"/>
      <c r="G19" s="76"/>
      <c r="H19" s="1"/>
      <c r="I19" s="1"/>
    </row>
    <row r="20" spans="1:9" x14ac:dyDescent="0.45">
      <c r="A20" s="1"/>
      <c r="B20" s="1"/>
      <c r="C20" s="6" t="s">
        <v>7</v>
      </c>
      <c r="D20" s="74" t="s">
        <v>10</v>
      </c>
      <c r="E20" s="75"/>
      <c r="F20" s="75"/>
      <c r="G20" s="76"/>
      <c r="H20" s="1"/>
      <c r="I20" s="1"/>
    </row>
    <row r="21" spans="1:9" x14ac:dyDescent="0.45">
      <c r="A21" s="1"/>
      <c r="B21" s="1"/>
      <c r="C21" s="6" t="s">
        <v>112</v>
      </c>
      <c r="D21" s="80" t="s">
        <v>13</v>
      </c>
      <c r="E21" s="81"/>
      <c r="F21" s="81"/>
      <c r="G21" s="82"/>
      <c r="H21" s="1"/>
      <c r="I21" s="1"/>
    </row>
    <row r="22" spans="1:9" x14ac:dyDescent="0.45">
      <c r="A22" s="1"/>
      <c r="B22" s="1"/>
      <c r="C22" s="6" t="s">
        <v>75</v>
      </c>
      <c r="D22" s="66" t="s">
        <v>179</v>
      </c>
      <c r="E22" s="67"/>
      <c r="F22" s="67"/>
      <c r="G22" s="68"/>
      <c r="H22" s="1"/>
      <c r="I22" s="1"/>
    </row>
    <row r="23" spans="1:9" x14ac:dyDescent="0.45">
      <c r="A23" s="1"/>
      <c r="B23" s="1"/>
      <c r="C23" s="6" t="s">
        <v>8</v>
      </c>
      <c r="D23" s="66" t="s">
        <v>180</v>
      </c>
      <c r="E23" s="67"/>
      <c r="F23" s="67"/>
      <c r="G23" s="68"/>
      <c r="H23" s="1"/>
      <c r="I23" s="1"/>
    </row>
    <row r="24" spans="1:9" x14ac:dyDescent="0.45">
      <c r="A24" s="1"/>
      <c r="B24" s="1"/>
      <c r="C24" s="6" t="s">
        <v>9</v>
      </c>
      <c r="D24" s="66" t="s">
        <v>39</v>
      </c>
      <c r="E24" s="67"/>
      <c r="F24" s="67"/>
      <c r="G24" s="68"/>
      <c r="H24" s="1"/>
      <c r="I24" s="1"/>
    </row>
    <row r="25" spans="1:9" x14ac:dyDescent="0.45">
      <c r="A25" s="1"/>
      <c r="B25" s="1"/>
      <c r="C25" s="6" t="s">
        <v>113</v>
      </c>
      <c r="D25" s="66" t="s">
        <v>76</v>
      </c>
      <c r="E25" s="67"/>
      <c r="F25" s="67"/>
      <c r="G25" s="68"/>
      <c r="H25" s="1"/>
      <c r="I25" s="1"/>
    </row>
    <row r="26" spans="1:9" x14ac:dyDescent="0.45">
      <c r="A26" s="1"/>
      <c r="B26" s="1"/>
      <c r="C26" s="6" t="s">
        <v>114</v>
      </c>
      <c r="D26" s="66" t="s">
        <v>77</v>
      </c>
      <c r="E26" s="67"/>
      <c r="F26" s="67"/>
      <c r="G26" s="68"/>
      <c r="H26" s="1"/>
      <c r="I26" s="1"/>
    </row>
    <row r="27" spans="1:9" x14ac:dyDescent="0.45">
      <c r="A27" s="1"/>
      <c r="B27" s="1"/>
      <c r="C27" s="6" t="s">
        <v>115</v>
      </c>
      <c r="D27" s="66" t="s">
        <v>78</v>
      </c>
      <c r="E27" s="67"/>
      <c r="F27" s="67"/>
      <c r="G27" s="68"/>
      <c r="H27" s="1"/>
      <c r="I27" s="1"/>
    </row>
    <row r="28" spans="1:9" x14ac:dyDescent="0.45">
      <c r="A28" s="1"/>
      <c r="B28" s="1"/>
      <c r="C28" s="6" t="s">
        <v>16</v>
      </c>
      <c r="D28" s="66" t="s">
        <v>135</v>
      </c>
      <c r="E28" s="67"/>
      <c r="F28" s="67"/>
      <c r="G28" s="68"/>
      <c r="H28" s="1"/>
      <c r="I28" s="1"/>
    </row>
    <row r="29" spans="1:9" x14ac:dyDescent="0.45">
      <c r="A29" s="1"/>
      <c r="B29" s="1"/>
      <c r="C29" s="6" t="s">
        <v>41</v>
      </c>
      <c r="D29" s="66" t="s">
        <v>40</v>
      </c>
      <c r="E29" s="67"/>
      <c r="F29" s="67"/>
      <c r="G29" s="68"/>
      <c r="H29" s="1"/>
      <c r="I29" s="1"/>
    </row>
    <row r="30" spans="1:9" x14ac:dyDescent="0.45">
      <c r="A30" s="1"/>
      <c r="B30" s="1"/>
      <c r="C30" s="6" t="s">
        <v>42</v>
      </c>
      <c r="D30" s="77" t="s">
        <v>108</v>
      </c>
      <c r="E30" s="78"/>
      <c r="F30" s="78"/>
      <c r="G30" s="79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k2mDCyy3aloS/yny1TCUVHjt+Mz2QI2uCldynAMeTGKku3O7Adm4arLIenBV+r1Qwv2yjcjm0qCzQLrUxB7Uw==" saltValue="R3jUMQEyM6DajmeegVV+JA==" spinCount="100000" sheet="1" objects="1" scenarios="1"/>
  <mergeCells count="21"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3" t="s">
        <v>119</v>
      </c>
      <c r="C3" s="83"/>
      <c r="D3" s="83"/>
      <c r="E3" s="1"/>
      <c r="F3" s="1"/>
    </row>
    <row r="4" spans="1:6" ht="15" customHeight="1" x14ac:dyDescent="0.45">
      <c r="A4" s="1"/>
      <c r="B4" s="83"/>
      <c r="C4" s="83"/>
      <c r="D4" s="8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13" t="s">
        <v>197</v>
      </c>
      <c r="C8" s="114"/>
      <c r="D8" s="115"/>
      <c r="E8" s="1"/>
      <c r="F8" s="1"/>
    </row>
    <row r="9" spans="1:6" ht="15" customHeight="1" x14ac:dyDescent="0.45">
      <c r="A9" s="1"/>
      <c r="B9" s="43" t="s">
        <v>35</v>
      </c>
      <c r="C9" s="11" t="s">
        <v>198</v>
      </c>
      <c r="D9" s="11"/>
      <c r="E9" s="1"/>
      <c r="F9" s="1"/>
    </row>
    <row r="10" spans="1:6" ht="15" customHeight="1" x14ac:dyDescent="0.45">
      <c r="A10" s="1"/>
      <c r="B10" s="58" t="s">
        <v>279</v>
      </c>
      <c r="C10" s="9">
        <v>1836000</v>
      </c>
      <c r="D10" s="14" t="s">
        <v>3</v>
      </c>
      <c r="E10" s="1"/>
      <c r="F10" s="1"/>
    </row>
    <row r="11" spans="1:6" x14ac:dyDescent="0.45">
      <c r="A11" s="1"/>
      <c r="B11" s="58" t="s">
        <v>280</v>
      </c>
      <c r="C11" s="9">
        <v>117000</v>
      </c>
      <c r="D11" s="14" t="s">
        <v>3</v>
      </c>
      <c r="E11" s="1"/>
      <c r="F11" s="1"/>
    </row>
    <row r="12" spans="1:6" x14ac:dyDescent="0.45">
      <c r="A12" s="1"/>
      <c r="B12" s="58" t="s">
        <v>281</v>
      </c>
      <c r="C12" s="9">
        <v>1090000</v>
      </c>
      <c r="D12" s="14" t="s">
        <v>3</v>
      </c>
      <c r="E12" s="1"/>
      <c r="F12" s="1"/>
    </row>
    <row r="13" spans="1:6" x14ac:dyDescent="0.45">
      <c r="A13" s="1"/>
      <c r="B13" s="58" t="s">
        <v>282</v>
      </c>
      <c r="C13" s="9">
        <v>314000</v>
      </c>
      <c r="D13" s="14" t="s">
        <v>3</v>
      </c>
      <c r="E13" s="1"/>
      <c r="F13" s="1"/>
    </row>
    <row r="14" spans="1:6" x14ac:dyDescent="0.45">
      <c r="A14" s="1"/>
      <c r="B14" s="36" t="s">
        <v>199</v>
      </c>
      <c r="C14" s="12">
        <f>SUM(C10:C13)</f>
        <v>3357000</v>
      </c>
      <c r="D14" s="13" t="s">
        <v>3</v>
      </c>
      <c r="E14" s="1"/>
      <c r="F14" s="1"/>
    </row>
    <row r="15" spans="1:6" x14ac:dyDescent="0.45">
      <c r="A15" s="1"/>
      <c r="B15" s="36" t="s">
        <v>200</v>
      </c>
      <c r="C15" s="12">
        <f>C14*(1+'Fane 14. Nøgletal'!C14)^2</f>
        <v>3379192.7577300007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13" t="s">
        <v>128</v>
      </c>
      <c r="C18" s="114"/>
      <c r="D18" s="115"/>
      <c r="E18" s="1"/>
      <c r="F18" s="1"/>
    </row>
    <row r="19" spans="1:6" x14ac:dyDescent="0.45">
      <c r="A19" s="1"/>
      <c r="B19" s="58" t="s">
        <v>100</v>
      </c>
      <c r="C19" s="9">
        <v>0</v>
      </c>
      <c r="D19" s="14" t="s">
        <v>3</v>
      </c>
      <c r="E19" s="1"/>
      <c r="F19" s="1"/>
    </row>
    <row r="20" spans="1:6" x14ac:dyDescent="0.45">
      <c r="A20" s="1"/>
      <c r="B20" s="58" t="s">
        <v>101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58" t="s">
        <v>141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58" t="s">
        <v>201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113"/>
      <c r="C23" s="114"/>
      <c r="D23" s="115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13" t="s">
        <v>99</v>
      </c>
      <c r="C26" s="114"/>
      <c r="D26" s="115"/>
      <c r="E26" s="1"/>
      <c r="F26" s="1"/>
    </row>
    <row r="27" spans="1:6" x14ac:dyDescent="0.45">
      <c r="A27" s="1"/>
      <c r="B27" s="58" t="s">
        <v>100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58" t="s">
        <v>101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58" t="s">
        <v>141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58" t="s">
        <v>201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113"/>
      <c r="C31" s="114"/>
      <c r="D31" s="115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G485Ez9EIMmOjJaeLOFIP5iXhmjCAk2w9S7lC+92XEX3U2ZZzKLtAJ5ftuucnolHbQqWpS77YYD/I4HTXlQ3Gg==" saltValue="ku5hrbvsoivVUjmjruRKv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4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5" t="s">
        <v>202</v>
      </c>
      <c r="C3" s="85"/>
      <c r="D3" s="85"/>
      <c r="E3" s="85"/>
      <c r="F3" s="85"/>
      <c r="G3" s="1"/>
    </row>
    <row r="4" spans="1:7" ht="15" customHeight="1" x14ac:dyDescent="0.45">
      <c r="A4" s="1"/>
      <c r="B4" s="85"/>
      <c r="C4" s="85"/>
      <c r="D4" s="85"/>
      <c r="E4" s="85"/>
      <c r="F4" s="85"/>
      <c r="G4" s="1"/>
    </row>
    <row r="5" spans="1:7" ht="15" customHeight="1" x14ac:dyDescent="0.45">
      <c r="A5" s="1"/>
      <c r="B5" s="50"/>
      <c r="C5" s="50"/>
      <c r="D5" s="50"/>
      <c r="E5" s="50"/>
      <c r="F5" s="50"/>
      <c r="G5" s="1"/>
    </row>
    <row r="6" spans="1:7" ht="15" customHeight="1" x14ac:dyDescent="0.45">
      <c r="A6" s="1"/>
      <c r="B6" s="50"/>
      <c r="C6" s="50"/>
      <c r="D6" s="50"/>
      <c r="E6" s="50"/>
      <c r="F6" s="50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3" t="s">
        <v>284</v>
      </c>
      <c r="C8" s="114"/>
      <c r="D8" s="114"/>
      <c r="E8" s="114"/>
      <c r="F8" s="115"/>
      <c r="G8" s="1"/>
    </row>
    <row r="9" spans="1:7" x14ac:dyDescent="0.45">
      <c r="A9" s="1"/>
      <c r="B9" s="107" t="s">
        <v>285</v>
      </c>
      <c r="C9" s="108"/>
      <c r="D9" s="109"/>
      <c r="E9" s="9">
        <v>83625.613029047847</v>
      </c>
      <c r="F9" s="14" t="s">
        <v>3</v>
      </c>
      <c r="G9" s="1"/>
    </row>
    <row r="10" spans="1:7" x14ac:dyDescent="0.45">
      <c r="A10" s="1"/>
      <c r="B10" s="107" t="s">
        <v>286</v>
      </c>
      <c r="C10" s="108"/>
      <c r="D10" s="109"/>
      <c r="E10" s="9">
        <v>4226046.3509114683</v>
      </c>
      <c r="F10" s="14" t="s">
        <v>3</v>
      </c>
      <c r="G10" s="1"/>
    </row>
    <row r="11" spans="1:7" x14ac:dyDescent="0.45">
      <c r="A11" s="1"/>
      <c r="B11" s="107" t="s">
        <v>287</v>
      </c>
      <c r="C11" s="108"/>
      <c r="D11" s="109"/>
      <c r="E11" s="9">
        <v>5562126.7869890034</v>
      </c>
      <c r="F11" s="14" t="s">
        <v>3</v>
      </c>
      <c r="G11" s="1"/>
    </row>
    <row r="12" spans="1:7" x14ac:dyDescent="0.45">
      <c r="A12" s="1"/>
      <c r="B12" s="36"/>
      <c r="C12" s="37"/>
      <c r="D12" s="37"/>
      <c r="E12" s="37"/>
      <c r="F12" s="20"/>
      <c r="G12" s="1"/>
    </row>
    <row r="13" spans="1:7" ht="52.5" customHeight="1" x14ac:dyDescent="0.45">
      <c r="A13" s="1"/>
      <c r="B13" s="95" t="s">
        <v>288</v>
      </c>
      <c r="C13" s="96"/>
      <c r="D13" s="96"/>
      <c r="E13" s="96"/>
      <c r="F13" s="97"/>
      <c r="G13" s="1"/>
    </row>
    <row r="14" spans="1:7" ht="27" customHeight="1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13" t="s">
        <v>289</v>
      </c>
      <c r="C15" s="114"/>
      <c r="D15" s="114"/>
      <c r="E15" s="114"/>
      <c r="F15" s="115"/>
      <c r="G15" s="1"/>
    </row>
    <row r="16" spans="1:7" x14ac:dyDescent="0.45">
      <c r="A16" s="1"/>
      <c r="B16" s="107" t="s">
        <v>290</v>
      </c>
      <c r="C16" s="108"/>
      <c r="D16" s="109"/>
      <c r="E16" s="9">
        <v>0</v>
      </c>
      <c r="F16" s="14" t="s">
        <v>3</v>
      </c>
      <c r="G16" s="1"/>
    </row>
    <row r="17" spans="1:7" x14ac:dyDescent="0.45">
      <c r="A17" s="1"/>
      <c r="B17" s="107" t="s">
        <v>291</v>
      </c>
      <c r="C17" s="108"/>
      <c r="D17" s="109"/>
      <c r="E17" s="9">
        <v>0</v>
      </c>
      <c r="F17" s="14" t="s">
        <v>3</v>
      </c>
      <c r="G17" s="1"/>
    </row>
    <row r="18" spans="1:7" x14ac:dyDescent="0.45">
      <c r="A18" s="1"/>
      <c r="B18" s="36"/>
      <c r="C18" s="37"/>
      <c r="D18" s="37"/>
      <c r="E18" s="37"/>
      <c r="F18" s="20"/>
      <c r="G18" s="1"/>
    </row>
    <row r="19" spans="1:7" ht="31.5" customHeight="1" x14ac:dyDescent="0.45">
      <c r="A19" s="1"/>
      <c r="B19" s="95" t="s">
        <v>292</v>
      </c>
      <c r="C19" s="96"/>
      <c r="D19" s="96"/>
      <c r="E19" s="96"/>
      <c r="F19" s="97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52" t="s">
        <v>240</v>
      </c>
      <c r="C21" s="53"/>
      <c r="D21" s="53"/>
      <c r="E21" s="53"/>
      <c r="F21" s="54"/>
      <c r="G21" s="1"/>
    </row>
    <row r="22" spans="1:7" x14ac:dyDescent="0.45">
      <c r="A22" s="1"/>
      <c r="B22" s="55" t="s">
        <v>241</v>
      </c>
      <c r="C22" s="56"/>
      <c r="D22" s="57"/>
      <c r="E22" s="9">
        <v>142274649.18255991</v>
      </c>
      <c r="F22" s="14" t="s">
        <v>3</v>
      </c>
      <c r="G22" s="1"/>
    </row>
    <row r="23" spans="1:7" x14ac:dyDescent="0.45">
      <c r="A23" s="1"/>
      <c r="B23" s="55" t="s">
        <v>242</v>
      </c>
      <c r="C23" s="56"/>
      <c r="D23" s="57"/>
      <c r="E23" s="9">
        <v>144764000</v>
      </c>
      <c r="F23" s="14" t="s">
        <v>3</v>
      </c>
      <c r="G23" s="1"/>
    </row>
    <row r="24" spans="1:7" x14ac:dyDescent="0.45">
      <c r="A24" s="1"/>
      <c r="B24" s="55" t="s">
        <v>36</v>
      </c>
      <c r="C24" s="56"/>
      <c r="D24" s="57"/>
      <c r="E24" s="9">
        <v>37000</v>
      </c>
      <c r="F24" s="14" t="s">
        <v>3</v>
      </c>
      <c r="G24" s="1"/>
    </row>
    <row r="25" spans="1:7" x14ac:dyDescent="0.45">
      <c r="A25" s="1"/>
      <c r="B25" s="46" t="s">
        <v>293</v>
      </c>
      <c r="C25" s="47"/>
      <c r="D25" s="48"/>
      <c r="E25" s="39">
        <f>E22-(E23-E24)</f>
        <v>-2452350.8174400926</v>
      </c>
      <c r="F25" s="17" t="s">
        <v>3</v>
      </c>
      <c r="G25" s="1"/>
    </row>
    <row r="26" spans="1:7" x14ac:dyDescent="0.45">
      <c r="A26" s="1"/>
      <c r="B26" s="36"/>
      <c r="C26" s="37"/>
      <c r="D26" s="37"/>
      <c r="E26" s="37"/>
      <c r="F26" s="20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13" t="s">
        <v>169</v>
      </c>
      <c r="C29" s="114"/>
      <c r="D29" s="114"/>
      <c r="E29" s="114"/>
      <c r="F29" s="115"/>
      <c r="G29" s="1"/>
    </row>
    <row r="30" spans="1:7" x14ac:dyDescent="0.45">
      <c r="A30" s="1"/>
      <c r="B30" s="124" t="s">
        <v>170</v>
      </c>
      <c r="C30" s="125"/>
      <c r="D30" s="126"/>
      <c r="E30" s="9">
        <f>IF(AND(E9&lt;0,SUM(E10:E11,E25)&gt;0),E9,IF(AND(E9&lt;0,SUM(E10:E11,E25)&lt;0),E9+SUM(E10:E11,E25),IF(AND(E9&gt;0,SUM(E9:E11,E25)&gt;0),0,IF(AND(E9&gt;0,SUM(E9:E11,E25)&lt;0),SUM(E9:E11,E25)))))</f>
        <v>0</v>
      </c>
      <c r="F30" s="14" t="s">
        <v>3</v>
      </c>
      <c r="G30" s="1"/>
    </row>
    <row r="31" spans="1:7" x14ac:dyDescent="0.45">
      <c r="A31" s="1"/>
      <c r="B31" s="124" t="s">
        <v>104</v>
      </c>
      <c r="C31" s="125"/>
      <c r="D31" s="126"/>
      <c r="E31" s="9">
        <v>2</v>
      </c>
      <c r="F31" s="14" t="s">
        <v>21</v>
      </c>
      <c r="G31" s="1"/>
    </row>
    <row r="32" spans="1:7" x14ac:dyDescent="0.45">
      <c r="A32" s="1"/>
      <c r="B32" s="127" t="s">
        <v>172</v>
      </c>
      <c r="C32" s="127"/>
      <c r="D32" s="127"/>
      <c r="E32" s="10">
        <f>E30/E31</f>
        <v>0</v>
      </c>
      <c r="F32" s="17" t="s">
        <v>3</v>
      </c>
      <c r="G32" s="1"/>
    </row>
    <row r="33" spans="1:7" x14ac:dyDescent="0.45">
      <c r="A33" s="1"/>
      <c r="B33" s="121"/>
      <c r="C33" s="122"/>
      <c r="D33" s="122"/>
      <c r="E33" s="122"/>
      <c r="F33" s="123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</sheetData>
  <sheetProtection algorithmName="SHA-512" hashValue="BUMenZA7qvOfp1ljfOnTW54LztvVMN57Zi9wIKu5i/a6Wdx3dJXx5Bmlpd9076tn3z7SvWn0ncG6nYfY5/h/hw==" saltValue="IOKzV3yOCh0qJsgvqnh3FQ==" spinCount="100000" sheet="1" objects="1" scenarios="1"/>
  <mergeCells count="15">
    <mergeCell ref="B33:F33"/>
    <mergeCell ref="B3:F4"/>
    <mergeCell ref="B8:F8"/>
    <mergeCell ref="B9:D9"/>
    <mergeCell ref="B10:D10"/>
    <mergeCell ref="B11:D11"/>
    <mergeCell ref="B13:F13"/>
    <mergeCell ref="B15:F15"/>
    <mergeCell ref="B16:D16"/>
    <mergeCell ref="B17:D17"/>
    <mergeCell ref="B19:F19"/>
    <mergeCell ref="B29:F29"/>
    <mergeCell ref="B30:D30"/>
    <mergeCell ref="B31:D31"/>
    <mergeCell ref="B32:D32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5" t="s">
        <v>203</v>
      </c>
      <c r="C3" s="85"/>
      <c r="D3" s="85"/>
      <c r="E3" s="85"/>
      <c r="F3" s="85"/>
      <c r="G3" s="1"/>
    </row>
    <row r="4" spans="1:7" ht="15" customHeight="1" x14ac:dyDescent="0.45">
      <c r="A4" s="1"/>
      <c r="B4" s="85"/>
      <c r="C4" s="85"/>
      <c r="D4" s="85"/>
      <c r="E4" s="85"/>
      <c r="F4" s="8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113" t="s">
        <v>204</v>
      </c>
      <c r="C9" s="114"/>
      <c r="D9" s="114"/>
      <c r="E9" s="114"/>
      <c r="F9" s="114"/>
      <c r="G9" s="1"/>
    </row>
    <row r="10" spans="1:7" x14ac:dyDescent="0.45">
      <c r="A10" s="1"/>
      <c r="B10" s="95" t="s">
        <v>102</v>
      </c>
      <c r="C10" s="96"/>
      <c r="D10" s="97"/>
      <c r="E10" s="7">
        <v>0</v>
      </c>
      <c r="F10" s="8" t="s">
        <v>3</v>
      </c>
      <c r="G10" s="1"/>
    </row>
    <row r="11" spans="1:7" x14ac:dyDescent="0.45">
      <c r="A11" s="1"/>
      <c r="B11" s="107" t="s">
        <v>205</v>
      </c>
      <c r="C11" s="108"/>
      <c r="D11" s="109"/>
      <c r="E11" s="7">
        <v>0</v>
      </c>
      <c r="F11" s="8" t="s">
        <v>3</v>
      </c>
      <c r="G11" s="1"/>
    </row>
    <row r="12" spans="1:7" x14ac:dyDescent="0.45">
      <c r="A12" s="1"/>
      <c r="B12" s="104" t="s">
        <v>103</v>
      </c>
      <c r="C12" s="105"/>
      <c r="D12" s="106"/>
      <c r="E12" s="10">
        <f>E11-E10</f>
        <v>0</v>
      </c>
      <c r="F12" s="11" t="s">
        <v>3</v>
      </c>
      <c r="G12" s="1"/>
    </row>
    <row r="13" spans="1:7" x14ac:dyDescent="0.45">
      <c r="A13" s="1"/>
      <c r="B13" s="113" t="s">
        <v>93</v>
      </c>
      <c r="C13" s="114"/>
      <c r="D13" s="114"/>
      <c r="E13" s="114"/>
      <c r="F13" s="114"/>
      <c r="G13" s="1"/>
    </row>
    <row r="14" spans="1:7" x14ac:dyDescent="0.45">
      <c r="A14" s="1"/>
      <c r="B14" s="107" t="s">
        <v>206</v>
      </c>
      <c r="C14" s="108"/>
      <c r="D14" s="109"/>
      <c r="E14" s="9">
        <v>0</v>
      </c>
      <c r="F14" s="8" t="s">
        <v>3</v>
      </c>
      <c r="G14" s="1"/>
    </row>
    <row r="15" spans="1:7" x14ac:dyDescent="0.45">
      <c r="A15" s="1"/>
      <c r="B15" s="95" t="s">
        <v>207</v>
      </c>
      <c r="C15" s="96"/>
      <c r="D15" s="97"/>
      <c r="E15" s="9">
        <v>0</v>
      </c>
      <c r="F15" s="8" t="s">
        <v>3</v>
      </c>
      <c r="G15" s="1"/>
    </row>
    <row r="16" spans="1:7" x14ac:dyDescent="0.45">
      <c r="A16" s="1"/>
      <c r="B16" s="104" t="s">
        <v>103</v>
      </c>
      <c r="C16" s="105"/>
      <c r="D16" s="106"/>
      <c r="E16" s="10">
        <f>E15-E14</f>
        <v>0</v>
      </c>
      <c r="F16" s="11" t="s">
        <v>3</v>
      </c>
      <c r="G16" s="1"/>
    </row>
    <row r="17" spans="1:7" ht="15" customHeight="1" x14ac:dyDescent="0.45">
      <c r="A17" s="1"/>
      <c r="B17" s="36" t="s">
        <v>208</v>
      </c>
      <c r="C17" s="37"/>
      <c r="D17" s="37"/>
      <c r="E17" s="12">
        <f>E12+E16</f>
        <v>0</v>
      </c>
      <c r="F17" s="13" t="s">
        <v>3</v>
      </c>
      <c r="G17" s="1"/>
    </row>
    <row r="18" spans="1:7" ht="1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cwSbD7geFeAy6KlJVQEKPzcKr+I6BGZaZPr/c7bdNmHMfcBL7m5B3IHpQoBvlTYHqi0JshrAaxZvOyz1D0qxJw==" saltValue="DLibYhIx1ezbKwrA1cYhn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4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3" t="s">
        <v>155</v>
      </c>
      <c r="C3" s="83"/>
      <c r="D3" s="83"/>
      <c r="E3" s="83"/>
      <c r="F3" s="83"/>
      <c r="G3" s="83"/>
      <c r="H3" s="83"/>
      <c r="I3" s="1"/>
    </row>
    <row r="4" spans="1:9" ht="15" customHeight="1" x14ac:dyDescent="0.45">
      <c r="A4" s="1"/>
      <c r="B4" s="83"/>
      <c r="C4" s="83"/>
      <c r="D4" s="83"/>
      <c r="E4" s="83"/>
      <c r="F4" s="83"/>
      <c r="G4" s="83"/>
      <c r="H4" s="8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13" t="s">
        <v>156</v>
      </c>
      <c r="C8" s="114"/>
      <c r="D8" s="114"/>
      <c r="E8" s="114"/>
      <c r="F8" s="114"/>
      <c r="G8" s="114"/>
      <c r="H8" s="115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62"/>
      <c r="I9" s="1"/>
    </row>
    <row r="10" spans="1:9" x14ac:dyDescent="0.45">
      <c r="A10" s="1"/>
      <c r="B10" s="60" t="s">
        <v>266</v>
      </c>
      <c r="C10" s="63" t="s">
        <v>267</v>
      </c>
      <c r="D10" s="9">
        <v>215000</v>
      </c>
      <c r="E10" s="9">
        <f>IFERROR(D10/C10,0)</f>
        <v>2866.6666666666665</v>
      </c>
      <c r="F10" s="9">
        <v>0</v>
      </c>
      <c r="G10" s="9">
        <v>0</v>
      </c>
      <c r="H10" s="14" t="s">
        <v>3</v>
      </c>
      <c r="I10" s="1"/>
    </row>
    <row r="11" spans="1:9" ht="26.65" x14ac:dyDescent="0.45">
      <c r="A11" s="1"/>
      <c r="B11" s="60" t="s">
        <v>268</v>
      </c>
      <c r="C11" s="63" t="s">
        <v>267</v>
      </c>
      <c r="D11" s="9">
        <v>74000</v>
      </c>
      <c r="E11" s="9">
        <f t="shared" ref="E11:E16" si="0">IFERROR(D11/C11,0)</f>
        <v>986.66666666666663</v>
      </c>
      <c r="F11" s="9">
        <v>0</v>
      </c>
      <c r="G11" s="9">
        <v>0</v>
      </c>
      <c r="H11" s="14" t="s">
        <v>3</v>
      </c>
      <c r="I11" s="1"/>
    </row>
    <row r="12" spans="1:9" ht="26.65" x14ac:dyDescent="0.45">
      <c r="A12" s="1"/>
      <c r="B12" s="60" t="s">
        <v>269</v>
      </c>
      <c r="C12" s="63" t="s">
        <v>267</v>
      </c>
      <c r="D12" s="9">
        <v>142000</v>
      </c>
      <c r="E12" s="9">
        <f t="shared" si="0"/>
        <v>1893.3333333333333</v>
      </c>
      <c r="F12" s="9">
        <v>0</v>
      </c>
      <c r="G12" s="9">
        <v>0</v>
      </c>
      <c r="H12" s="14" t="s">
        <v>3</v>
      </c>
      <c r="I12" s="1"/>
    </row>
    <row r="13" spans="1:9" ht="26.65" x14ac:dyDescent="0.45">
      <c r="A13" s="1"/>
      <c r="B13" s="60" t="s">
        <v>270</v>
      </c>
      <c r="C13" s="63" t="s">
        <v>267</v>
      </c>
      <c r="D13" s="9">
        <v>640000</v>
      </c>
      <c r="E13" s="9">
        <f t="shared" si="0"/>
        <v>8533.3333333333339</v>
      </c>
      <c r="F13" s="9">
        <v>0</v>
      </c>
      <c r="G13" s="9">
        <v>0</v>
      </c>
      <c r="H13" s="14" t="s">
        <v>3</v>
      </c>
      <c r="I13" s="1"/>
    </row>
    <row r="14" spans="1:9" x14ac:dyDescent="0.45">
      <c r="A14" s="1"/>
      <c r="B14" s="60" t="s">
        <v>271</v>
      </c>
      <c r="C14" s="63" t="s">
        <v>267</v>
      </c>
      <c r="D14" s="9">
        <v>610000</v>
      </c>
      <c r="E14" s="9">
        <f t="shared" si="0"/>
        <v>8133.333333333333</v>
      </c>
      <c r="F14" s="9">
        <v>0</v>
      </c>
      <c r="G14" s="9">
        <v>0</v>
      </c>
      <c r="H14" s="14" t="s">
        <v>3</v>
      </c>
      <c r="I14" s="1"/>
    </row>
    <row r="15" spans="1:9" x14ac:dyDescent="0.45">
      <c r="A15" s="1"/>
      <c r="B15" s="60" t="s">
        <v>272</v>
      </c>
      <c r="C15" s="63" t="s">
        <v>267</v>
      </c>
      <c r="D15" s="9">
        <v>3484000</v>
      </c>
      <c r="E15" s="9">
        <f t="shared" si="0"/>
        <v>46453.333333333336</v>
      </c>
      <c r="F15" s="9">
        <v>0</v>
      </c>
      <c r="G15" s="9">
        <v>0</v>
      </c>
      <c r="H15" s="14" t="s">
        <v>3</v>
      </c>
      <c r="I15" s="1"/>
    </row>
    <row r="16" spans="1:9" ht="26.65" x14ac:dyDescent="0.45">
      <c r="A16" s="1"/>
      <c r="B16" s="60" t="s">
        <v>273</v>
      </c>
      <c r="C16" s="63" t="s">
        <v>274</v>
      </c>
      <c r="D16" s="9">
        <v>628000</v>
      </c>
      <c r="E16" s="9">
        <f t="shared" si="0"/>
        <v>31400</v>
      </c>
      <c r="F16" s="9">
        <v>0</v>
      </c>
      <c r="G16" s="9">
        <v>0</v>
      </c>
      <c r="H16" s="14" t="s">
        <v>3</v>
      </c>
      <c r="I16" s="1"/>
    </row>
    <row r="17" spans="1:9" x14ac:dyDescent="0.45">
      <c r="A17" s="1"/>
      <c r="B17" s="60" t="s">
        <v>275</v>
      </c>
      <c r="C17" s="63" t="s">
        <v>276</v>
      </c>
      <c r="D17" s="9">
        <v>314000</v>
      </c>
      <c r="E17" s="9">
        <f t="shared" ref="E17:E18" si="1">IFERROR(D17/C17,0)</f>
        <v>6280</v>
      </c>
      <c r="F17" s="9">
        <v>0</v>
      </c>
      <c r="G17" s="9">
        <v>0</v>
      </c>
      <c r="H17" s="14" t="s">
        <v>3</v>
      </c>
      <c r="I17" s="1"/>
    </row>
    <row r="18" spans="1:9" x14ac:dyDescent="0.45">
      <c r="A18" s="1"/>
      <c r="B18" s="60" t="s">
        <v>277</v>
      </c>
      <c r="C18" s="63" t="s">
        <v>267</v>
      </c>
      <c r="D18" s="9">
        <v>49000</v>
      </c>
      <c r="E18" s="9">
        <f t="shared" si="1"/>
        <v>653.33333333333337</v>
      </c>
      <c r="F18" s="9">
        <v>0</v>
      </c>
      <c r="G18" s="9">
        <v>0</v>
      </c>
      <c r="H18" s="14" t="s">
        <v>3</v>
      </c>
      <c r="I18" s="1"/>
    </row>
    <row r="19" spans="1:9" x14ac:dyDescent="0.45">
      <c r="A19" s="1"/>
      <c r="B19" s="113" t="s">
        <v>157</v>
      </c>
      <c r="C19" s="114"/>
      <c r="D19" s="115"/>
      <c r="E19" s="12">
        <f>SUM(E10:E18)</f>
        <v>107200</v>
      </c>
      <c r="F19" s="12">
        <f t="shared" ref="F19:G19" si="2">SUM(F10:F18)</f>
        <v>0</v>
      </c>
      <c r="G19" s="12">
        <f t="shared" si="2"/>
        <v>0</v>
      </c>
      <c r="H19" s="13" t="s">
        <v>3</v>
      </c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45">
      <c r="A54" s="1"/>
      <c r="B54" s="1"/>
      <c r="C54" s="1"/>
      <c r="D54" s="1"/>
      <c r="E54" s="1"/>
      <c r="F54" s="1"/>
      <c r="G54" s="1"/>
      <c r="H54" s="1"/>
      <c r="I54" s="1"/>
    </row>
  </sheetData>
  <sheetProtection algorithmName="SHA-512" hashValue="3rhcxEAhPZm7JsnwC2d4run1lC8GKC8SzM4Q4BFL4w2rHzBLC2oOv9WSeQ2Gf0HuzBL6DQFXgnqvkyP2V4xX+Q==" saltValue="wK+7nJnmdWA4CQRFOSA4cw==" spinCount="100000" sheet="1" objects="1" scenarios="1"/>
  <mergeCells count="3">
    <mergeCell ref="B3:H4"/>
    <mergeCell ref="B19:D19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118</v>
      </c>
      <c r="C3" s="83"/>
      <c r="D3" s="83"/>
      <c r="E3" s="83"/>
      <c r="F3" s="83"/>
      <c r="G3" s="1"/>
    </row>
    <row r="4" spans="1:7" ht="1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72</v>
      </c>
      <c r="C8" s="37"/>
      <c r="D8" s="37"/>
      <c r="E8" s="37"/>
      <c r="F8" s="20"/>
      <c r="G8" s="1"/>
    </row>
    <row r="9" spans="1:7" ht="17.25" customHeight="1" x14ac:dyDescent="0.45">
      <c r="A9" s="1"/>
      <c r="B9" s="40" t="s">
        <v>18</v>
      </c>
      <c r="C9" s="40" t="s">
        <v>12</v>
      </c>
      <c r="D9" s="41"/>
      <c r="E9" s="40" t="s">
        <v>34</v>
      </c>
      <c r="F9" s="62"/>
      <c r="G9" s="1"/>
    </row>
    <row r="10" spans="1:7" x14ac:dyDescent="0.45">
      <c r="A10" s="1"/>
      <c r="B10" s="25" t="s">
        <v>158</v>
      </c>
      <c r="C10" s="22">
        <f>'Fane 9. Anlægsprojekter'!F19</f>
        <v>0</v>
      </c>
      <c r="D10" s="14" t="s">
        <v>3</v>
      </c>
      <c r="E10" s="9">
        <f>SUM('Fane 9. Anlægsprojekter'!E19,'Fane 9. Anlægsprojekter'!G19)</f>
        <v>107200</v>
      </c>
      <c r="F10" s="14" t="s">
        <v>3</v>
      </c>
      <c r="G10" s="1"/>
    </row>
    <row r="11" spans="1:7" x14ac:dyDescent="0.45">
      <c r="A11" s="1"/>
      <c r="B11" s="36" t="s">
        <v>142</v>
      </c>
      <c r="C11" s="12">
        <f>SUM(C10:C10)</f>
        <v>0</v>
      </c>
      <c r="D11" s="13" t="s">
        <v>3</v>
      </c>
      <c r="E11" s="12">
        <f>SUM(E10:E10)</f>
        <v>107200</v>
      </c>
      <c r="F11" s="13" t="s">
        <v>3</v>
      </c>
      <c r="G11" s="1"/>
    </row>
    <row r="12" spans="1:7" x14ac:dyDescent="0.45">
      <c r="A12" s="1"/>
      <c r="B12" s="36" t="s">
        <v>209</v>
      </c>
      <c r="C12" s="12">
        <f>C11*(1+'Fane 14. Nøgletal'!C14)</f>
        <v>0</v>
      </c>
      <c r="D12" s="13" t="s">
        <v>3</v>
      </c>
      <c r="E12" s="12">
        <f>E11*(1+'Fane 14. Nøgletal'!C14)</f>
        <v>107553.76000000001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IDBKbzzzLWEsn4/lMLySgFaiWQvXQCOUHiBrMgIaNCN0c2uF2yDisHLJnlMMUPZ4jLmmiuJn6QkKBWXKvfP9hQ==" saltValue="BcEDpFSdN+S7/KFEr0MMA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117</v>
      </c>
      <c r="C3" s="83"/>
      <c r="D3" s="83"/>
      <c r="E3" s="83"/>
      <c r="F3" s="83"/>
      <c r="G3" s="1"/>
    </row>
    <row r="4" spans="1:7" ht="1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3" t="s">
        <v>96</v>
      </c>
      <c r="C8" s="114"/>
      <c r="D8" s="114"/>
      <c r="E8" s="114"/>
      <c r="F8" s="115"/>
      <c r="G8" s="1"/>
    </row>
    <row r="9" spans="1:7" x14ac:dyDescent="0.45">
      <c r="A9" s="1"/>
      <c r="B9" s="40" t="s">
        <v>18</v>
      </c>
      <c r="C9" s="40" t="s">
        <v>12</v>
      </c>
      <c r="D9" s="41"/>
      <c r="E9" s="40" t="s">
        <v>34</v>
      </c>
      <c r="F9" s="62"/>
      <c r="G9" s="1"/>
    </row>
    <row r="10" spans="1:7" x14ac:dyDescent="0.45">
      <c r="A10" s="1"/>
      <c r="B10" s="25" t="s">
        <v>296</v>
      </c>
      <c r="C10" s="22">
        <v>0</v>
      </c>
      <c r="D10" s="14" t="s">
        <v>3</v>
      </c>
      <c r="E10" s="22">
        <v>0</v>
      </c>
      <c r="F10" s="14" t="s">
        <v>3</v>
      </c>
      <c r="G10" s="1"/>
    </row>
    <row r="11" spans="1:7" x14ac:dyDescent="0.45">
      <c r="A11" s="1"/>
      <c r="B11" s="36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45">
      <c r="A13" s="1"/>
      <c r="B13" s="27" t="s">
        <v>98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6" t="s">
        <v>143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13" t="s">
        <v>97</v>
      </c>
      <c r="C16" s="114"/>
      <c r="D16" s="114"/>
      <c r="E16" s="114"/>
      <c r="F16" s="115"/>
      <c r="G16" s="1"/>
    </row>
    <row r="17" spans="1:7" x14ac:dyDescent="0.45">
      <c r="A17" s="1"/>
      <c r="B17" s="40" t="s">
        <v>18</v>
      </c>
      <c r="C17" s="40" t="s">
        <v>12</v>
      </c>
      <c r="D17" s="41"/>
      <c r="E17" s="40" t="s">
        <v>34</v>
      </c>
      <c r="F17" s="62"/>
      <c r="G17" s="1"/>
    </row>
    <row r="18" spans="1:7" x14ac:dyDescent="0.45">
      <c r="A18" s="1"/>
      <c r="B18" s="25" t="s">
        <v>296</v>
      </c>
      <c r="C18" s="22">
        <v>0</v>
      </c>
      <c r="D18" s="14" t="s">
        <v>3</v>
      </c>
      <c r="E18" s="22">
        <v>0</v>
      </c>
      <c r="F18" s="14" t="s">
        <v>3</v>
      </c>
      <c r="G18" s="1"/>
    </row>
    <row r="19" spans="1:7" x14ac:dyDescent="0.45">
      <c r="A19" s="1"/>
      <c r="B19" s="36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45">
      <c r="A21" s="1"/>
      <c r="B21" s="27" t="s">
        <v>98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6" t="s">
        <v>211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13" t="s">
        <v>144</v>
      </c>
      <c r="C24" s="114"/>
      <c r="D24" s="114"/>
      <c r="E24" s="114"/>
      <c r="F24" s="115"/>
      <c r="G24" s="1"/>
    </row>
    <row r="25" spans="1:7" x14ac:dyDescent="0.45">
      <c r="A25" s="1"/>
      <c r="B25" s="40" t="s">
        <v>18</v>
      </c>
      <c r="C25" s="40" t="s">
        <v>12</v>
      </c>
      <c r="D25" s="41"/>
      <c r="E25" s="40" t="s">
        <v>34</v>
      </c>
      <c r="F25" s="62"/>
      <c r="G25" s="1"/>
    </row>
    <row r="26" spans="1:7" x14ac:dyDescent="0.45">
      <c r="A26" s="1"/>
      <c r="B26" s="25" t="s">
        <v>296</v>
      </c>
      <c r="C26" s="22">
        <v>0</v>
      </c>
      <c r="D26" s="14" t="s">
        <v>3</v>
      </c>
      <c r="E26" s="22">
        <v>0</v>
      </c>
      <c r="F26" s="14" t="s">
        <v>3</v>
      </c>
      <c r="G26" s="1"/>
    </row>
    <row r="27" spans="1:7" x14ac:dyDescent="0.45">
      <c r="A27" s="1"/>
      <c r="B27" s="36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45">
      <c r="A29" s="1"/>
      <c r="B29" s="27" t="s">
        <v>98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6" t="s">
        <v>213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13" t="s">
        <v>212</v>
      </c>
      <c r="C32" s="114"/>
      <c r="D32" s="114"/>
      <c r="E32" s="114"/>
      <c r="F32" s="115"/>
      <c r="G32" s="1"/>
    </row>
    <row r="33" spans="1:7" x14ac:dyDescent="0.45">
      <c r="A33" s="1"/>
      <c r="B33" s="40" t="s">
        <v>18</v>
      </c>
      <c r="C33" s="40" t="s">
        <v>12</v>
      </c>
      <c r="D33" s="41"/>
      <c r="E33" s="40" t="s">
        <v>34</v>
      </c>
      <c r="F33" s="62"/>
      <c r="G33" s="1"/>
    </row>
    <row r="34" spans="1:7" x14ac:dyDescent="0.45">
      <c r="A34" s="1"/>
      <c r="B34" s="25" t="s">
        <v>296</v>
      </c>
      <c r="C34" s="22">
        <v>0</v>
      </c>
      <c r="D34" s="14" t="s">
        <v>3</v>
      </c>
      <c r="E34" s="22">
        <v>0</v>
      </c>
      <c r="F34" s="14" t="s">
        <v>3</v>
      </c>
      <c r="G34" s="1"/>
    </row>
    <row r="35" spans="1:7" x14ac:dyDescent="0.45">
      <c r="A35" s="1"/>
      <c r="B35" s="36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45">
      <c r="A37" s="1"/>
      <c r="B37" s="27" t="s">
        <v>98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6" t="s">
        <v>214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kjFHSNxr+ai/G9FFlvnOS/H3Q19FJyogxWAf+eX55ghZR8zwQHhTpuoiEeHTq97ahI3CERGYfDiRK439BHiuvA==" saltValue="oN8sortbYYvhjWsA7LRnt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5" t="s">
        <v>127</v>
      </c>
      <c r="C3" s="85"/>
      <c r="D3" s="85"/>
      <c r="E3" s="85"/>
      <c r="F3" s="85"/>
      <c r="G3" s="1"/>
    </row>
    <row r="4" spans="1:7" ht="15" customHeight="1" x14ac:dyDescent="0.45">
      <c r="A4" s="1"/>
      <c r="B4" s="85"/>
      <c r="C4" s="85"/>
      <c r="D4" s="85"/>
      <c r="E4" s="85"/>
      <c r="F4" s="85"/>
      <c r="G4" s="1"/>
    </row>
    <row r="5" spans="1:7" x14ac:dyDescent="0.45">
      <c r="A5" s="1"/>
      <c r="B5" s="85"/>
      <c r="C5" s="85"/>
      <c r="D5" s="85"/>
      <c r="E5" s="85"/>
      <c r="F5" s="8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3" t="s">
        <v>87</v>
      </c>
      <c r="C8" s="114"/>
      <c r="D8" s="114"/>
      <c r="E8" s="114"/>
      <c r="F8" s="115"/>
      <c r="G8" s="1"/>
    </row>
    <row r="9" spans="1:7" x14ac:dyDescent="0.45">
      <c r="A9" s="1"/>
      <c r="B9" s="128" t="s">
        <v>215</v>
      </c>
      <c r="C9" s="129"/>
      <c r="D9" s="130"/>
      <c r="E9" s="9">
        <v>0</v>
      </c>
      <c r="F9" s="14" t="s">
        <v>3</v>
      </c>
      <c r="G9" s="1"/>
    </row>
    <row r="10" spans="1:7" x14ac:dyDescent="0.45">
      <c r="A10" s="1"/>
      <c r="B10" s="92" t="s">
        <v>10</v>
      </c>
      <c r="C10" s="93"/>
      <c r="D10" s="94"/>
      <c r="E10" s="9">
        <f>-E9*'Fane 5. Individuelt eff. krav'!G11</f>
        <v>0</v>
      </c>
      <c r="F10" s="14" t="s">
        <v>3</v>
      </c>
      <c r="G10" s="1"/>
    </row>
    <row r="11" spans="1:7" x14ac:dyDescent="0.45">
      <c r="A11" s="1"/>
      <c r="B11" s="92" t="s">
        <v>27</v>
      </c>
      <c r="C11" s="93"/>
      <c r="D11" s="94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113" t="s">
        <v>89</v>
      </c>
      <c r="C12" s="114"/>
      <c r="D12" s="115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13" t="s">
        <v>88</v>
      </c>
      <c r="C14" s="114"/>
      <c r="D14" s="114"/>
      <c r="E14" s="114"/>
      <c r="F14" s="115"/>
      <c r="G14" s="1"/>
    </row>
    <row r="15" spans="1:7" x14ac:dyDescent="0.45">
      <c r="A15" s="1"/>
      <c r="B15" s="128" t="s">
        <v>215</v>
      </c>
      <c r="C15" s="129"/>
      <c r="D15" s="130"/>
      <c r="E15" s="9">
        <v>0</v>
      </c>
      <c r="F15" s="14" t="s">
        <v>3</v>
      </c>
      <c r="G15" s="1"/>
    </row>
    <row r="16" spans="1:7" x14ac:dyDescent="0.45">
      <c r="A16" s="1"/>
      <c r="B16" s="92" t="s">
        <v>10</v>
      </c>
      <c r="C16" s="93"/>
      <c r="D16" s="94"/>
      <c r="E16" s="9">
        <f>-E15*'Fane 5. Individuelt eff. krav'!G11</f>
        <v>0</v>
      </c>
      <c r="F16" s="14" t="s">
        <v>3</v>
      </c>
      <c r="G16" s="1"/>
    </row>
    <row r="17" spans="1:7" x14ac:dyDescent="0.45">
      <c r="A17" s="1"/>
      <c r="B17" s="92" t="s">
        <v>27</v>
      </c>
      <c r="C17" s="93"/>
      <c r="D17" s="94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113" t="s">
        <v>90</v>
      </c>
      <c r="C18" s="114"/>
      <c r="D18" s="115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13" t="s">
        <v>145</v>
      </c>
      <c r="C20" s="114"/>
      <c r="D20" s="114"/>
      <c r="E20" s="114"/>
      <c r="F20" s="115"/>
      <c r="G20" s="1"/>
    </row>
    <row r="21" spans="1:7" x14ac:dyDescent="0.45">
      <c r="A21" s="1"/>
      <c r="B21" s="128" t="s">
        <v>215</v>
      </c>
      <c r="C21" s="129"/>
      <c r="D21" s="130"/>
      <c r="E21" s="9">
        <v>0</v>
      </c>
      <c r="F21" s="14" t="s">
        <v>3</v>
      </c>
      <c r="G21" s="1"/>
    </row>
    <row r="22" spans="1:7" x14ac:dyDescent="0.45">
      <c r="A22" s="1"/>
      <c r="B22" s="92" t="s">
        <v>10</v>
      </c>
      <c r="C22" s="93"/>
      <c r="D22" s="94"/>
      <c r="E22" s="9">
        <f>-E21*'Fane 5. Individuelt eff. krav'!G11</f>
        <v>0</v>
      </c>
      <c r="F22" s="14" t="s">
        <v>3</v>
      </c>
      <c r="G22" s="1"/>
    </row>
    <row r="23" spans="1:7" x14ac:dyDescent="0.45">
      <c r="A23" s="1"/>
      <c r="B23" s="92" t="s">
        <v>27</v>
      </c>
      <c r="C23" s="93"/>
      <c r="D23" s="94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113" t="s">
        <v>146</v>
      </c>
      <c r="C24" s="114"/>
      <c r="D24" s="115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13" t="s">
        <v>216</v>
      </c>
      <c r="C26" s="114"/>
      <c r="D26" s="114"/>
      <c r="E26" s="114"/>
      <c r="F26" s="115"/>
      <c r="G26" s="1"/>
    </row>
    <row r="27" spans="1:7" x14ac:dyDescent="0.45">
      <c r="A27" s="1"/>
      <c r="B27" s="128" t="s">
        <v>215</v>
      </c>
      <c r="C27" s="129"/>
      <c r="D27" s="130"/>
      <c r="E27" s="9">
        <v>0</v>
      </c>
      <c r="F27" s="14" t="s">
        <v>3</v>
      </c>
      <c r="G27" s="1"/>
    </row>
    <row r="28" spans="1:7" x14ac:dyDescent="0.45">
      <c r="A28" s="1"/>
      <c r="B28" s="92" t="s">
        <v>10</v>
      </c>
      <c r="C28" s="93"/>
      <c r="D28" s="94"/>
      <c r="E28" s="9">
        <f>-E27*'Fane 5. Individuelt eff. krav'!G11</f>
        <v>0</v>
      </c>
      <c r="F28" s="14" t="s">
        <v>3</v>
      </c>
      <c r="G28" s="1"/>
    </row>
    <row r="29" spans="1:7" x14ac:dyDescent="0.45">
      <c r="A29" s="1"/>
      <c r="B29" s="92" t="s">
        <v>27</v>
      </c>
      <c r="C29" s="93"/>
      <c r="D29" s="94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113" t="s">
        <v>217</v>
      </c>
      <c r="C30" s="114"/>
      <c r="D30" s="115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tq1qGAMl+7wrgfgEaFnyVK8V8aaPzxKVmr+0mzgetU8XysxJMu1puCTbzx39vxgcvlNcr5VlPcnHk7peqvYlDw==" saltValue="z5enl4ne54pQ/yx3FcHAJg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4" style="2" customWidth="1"/>
    <col min="4" max="4" width="3.265625" style="2" customWidth="1"/>
    <col min="5" max="5" width="14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5" t="s">
        <v>147</v>
      </c>
      <c r="C3" s="85"/>
      <c r="D3" s="85"/>
      <c r="E3" s="85"/>
      <c r="F3" s="85"/>
      <c r="G3" s="1"/>
    </row>
    <row r="4" spans="1:7" ht="25.5" customHeight="1" x14ac:dyDescent="0.45">
      <c r="A4" s="1"/>
      <c r="B4" s="85"/>
      <c r="C4" s="85"/>
      <c r="D4" s="85"/>
      <c r="E4" s="85"/>
      <c r="F4" s="8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3" t="s">
        <v>148</v>
      </c>
      <c r="C8" s="114"/>
      <c r="D8" s="114"/>
      <c r="E8" s="114"/>
      <c r="F8" s="115"/>
      <c r="G8" s="1"/>
    </row>
    <row r="9" spans="1:7" ht="15" customHeight="1" x14ac:dyDescent="0.45">
      <c r="A9" s="1"/>
      <c r="B9" s="61" t="s">
        <v>149</v>
      </c>
      <c r="C9" s="98" t="s">
        <v>12</v>
      </c>
      <c r="D9" s="100"/>
      <c r="E9" s="131" t="s">
        <v>34</v>
      </c>
      <c r="F9" s="132"/>
      <c r="G9" s="1"/>
    </row>
    <row r="10" spans="1:7" x14ac:dyDescent="0.45">
      <c r="A10" s="1"/>
      <c r="B10" s="25" t="s">
        <v>278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218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PPeBkv9wWEgpqPODMA+nzpjIIk5Noj0Z8b60YlsgTOCiasw4htaHpjNKlmH7WoX2P2IWaYwzttPy+yydNh0dhQ==" saltValue="htbjeXRDBaRNHma56S9Ef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5" t="s">
        <v>116</v>
      </c>
      <c r="C3" s="85"/>
      <c r="D3" s="85"/>
      <c r="E3" s="85"/>
      <c r="F3" s="85"/>
      <c r="G3" s="1"/>
    </row>
    <row r="4" spans="1:7" ht="25.5" customHeight="1" x14ac:dyDescent="0.45">
      <c r="A4" s="1"/>
      <c r="B4" s="85"/>
      <c r="C4" s="85"/>
      <c r="D4" s="85"/>
      <c r="E4" s="85"/>
      <c r="F4" s="8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3" t="s">
        <v>91</v>
      </c>
      <c r="C8" s="114"/>
      <c r="D8" s="114"/>
      <c r="E8" s="114"/>
      <c r="F8" s="115"/>
      <c r="G8" s="1"/>
    </row>
    <row r="9" spans="1:7" ht="15" customHeight="1" x14ac:dyDescent="0.45">
      <c r="A9" s="1"/>
      <c r="B9" s="61" t="s">
        <v>19</v>
      </c>
      <c r="C9" s="61" t="s">
        <v>12</v>
      </c>
      <c r="D9" s="62"/>
      <c r="E9" s="61" t="s">
        <v>34</v>
      </c>
      <c r="F9" s="62"/>
      <c r="G9" s="1"/>
    </row>
    <row r="10" spans="1:7" x14ac:dyDescent="0.45">
      <c r="A10" s="1"/>
      <c r="B10" s="25" t="s">
        <v>283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6" t="s">
        <v>82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6" t="s">
        <v>83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13" t="s">
        <v>92</v>
      </c>
      <c r="C14" s="114"/>
      <c r="D14" s="114"/>
      <c r="E14" s="114"/>
      <c r="F14" s="115"/>
      <c r="G14" s="1"/>
    </row>
    <row r="15" spans="1:7" x14ac:dyDescent="0.45">
      <c r="A15" s="1"/>
      <c r="B15" s="61" t="s">
        <v>19</v>
      </c>
      <c r="C15" s="61" t="s">
        <v>12</v>
      </c>
      <c r="D15" s="62"/>
      <c r="E15" s="61" t="s">
        <v>34</v>
      </c>
      <c r="F15" s="62"/>
      <c r="G15" s="1"/>
    </row>
    <row r="16" spans="1:7" x14ac:dyDescent="0.45">
      <c r="A16" s="1"/>
      <c r="B16" s="25" t="s">
        <v>283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6" t="s">
        <v>82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6" t="s">
        <v>84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13" t="s">
        <v>151</v>
      </c>
      <c r="C20" s="114"/>
      <c r="D20" s="114"/>
      <c r="E20" s="114"/>
      <c r="F20" s="115"/>
      <c r="G20" s="1"/>
    </row>
    <row r="21" spans="1:7" x14ac:dyDescent="0.45">
      <c r="A21" s="1"/>
      <c r="B21" s="61" t="s">
        <v>19</v>
      </c>
      <c r="C21" s="61" t="s">
        <v>12</v>
      </c>
      <c r="D21" s="62"/>
      <c r="E21" s="61" t="s">
        <v>34</v>
      </c>
      <c r="F21" s="62"/>
      <c r="G21" s="1"/>
    </row>
    <row r="22" spans="1:7" x14ac:dyDescent="0.45">
      <c r="A22" s="1"/>
      <c r="B22" s="25" t="s">
        <v>283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6" t="s">
        <v>82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6" t="s">
        <v>152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13" t="s">
        <v>219</v>
      </c>
      <c r="C26" s="114"/>
      <c r="D26" s="114"/>
      <c r="E26" s="114"/>
      <c r="F26" s="115"/>
      <c r="G26" s="1"/>
    </row>
    <row r="27" spans="1:7" x14ac:dyDescent="0.45">
      <c r="A27" s="1"/>
      <c r="B27" s="61" t="s">
        <v>19</v>
      </c>
      <c r="C27" s="61" t="s">
        <v>12</v>
      </c>
      <c r="D27" s="62"/>
      <c r="E27" s="61" t="s">
        <v>34</v>
      </c>
      <c r="F27" s="62"/>
      <c r="G27" s="1"/>
    </row>
    <row r="28" spans="1:7" x14ac:dyDescent="0.45">
      <c r="A28" s="1"/>
      <c r="B28" s="25" t="s">
        <v>283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6" t="s">
        <v>82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6" t="s">
        <v>220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PMI/0ubW/D1IWeQ5/8AGyGRNCJCQGl6uGJJ3iDyiaTV5lkudskzepf7GntwplvjL3bGHngwwfXDOxF3oa+9Xw==" saltValue="YXGN3f8EduSaaz2KO21hR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4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5" t="s">
        <v>173</v>
      </c>
      <c r="C3" s="85"/>
      <c r="D3" s="1"/>
    </row>
    <row r="4" spans="1:4" ht="25.5" customHeight="1" x14ac:dyDescent="0.45">
      <c r="A4" s="1"/>
      <c r="B4" s="85"/>
      <c r="C4" s="85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6" t="s">
        <v>15</v>
      </c>
      <c r="C8" s="20"/>
      <c r="D8" s="1"/>
    </row>
    <row r="9" spans="1:4" x14ac:dyDescent="0.45">
      <c r="A9" s="1"/>
      <c r="B9" s="58" t="s">
        <v>264</v>
      </c>
      <c r="C9" s="26">
        <v>1.2699999999999999E-2</v>
      </c>
      <c r="D9" s="1"/>
    </row>
    <row r="10" spans="1:4" x14ac:dyDescent="0.45">
      <c r="A10" s="1"/>
      <c r="B10" s="58" t="s">
        <v>122</v>
      </c>
      <c r="C10" s="26">
        <v>1.7500000000000002E-2</v>
      </c>
      <c r="D10" s="1"/>
    </row>
    <row r="11" spans="1:4" x14ac:dyDescent="0.45">
      <c r="A11" s="1"/>
      <c r="B11" s="58" t="s">
        <v>24</v>
      </c>
      <c r="C11" s="26">
        <v>1.6899999999999998E-2</v>
      </c>
      <c r="D11" s="1"/>
    </row>
    <row r="12" spans="1:4" x14ac:dyDescent="0.45">
      <c r="A12" s="1"/>
      <c r="B12" s="31" t="s">
        <v>45</v>
      </c>
      <c r="C12" s="26">
        <v>1.9699999999999999E-2</v>
      </c>
      <c r="D12" s="1"/>
    </row>
    <row r="13" spans="1:4" x14ac:dyDescent="0.45">
      <c r="A13" s="1"/>
      <c r="B13" s="31" t="s">
        <v>153</v>
      </c>
      <c r="C13" s="32">
        <v>1.2200000000000001E-2</v>
      </c>
      <c r="D13" s="1"/>
    </row>
    <row r="14" spans="1:4" x14ac:dyDescent="0.45">
      <c r="A14" s="1"/>
      <c r="B14" s="31" t="s">
        <v>295</v>
      </c>
      <c r="C14" s="32">
        <v>3.3E-3</v>
      </c>
      <c r="D14" s="1"/>
    </row>
    <row r="15" spans="1:4" x14ac:dyDescent="0.45">
      <c r="A15" s="1"/>
      <c r="B15" s="36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6" t="s">
        <v>107</v>
      </c>
      <c r="C18" s="20"/>
      <c r="D18" s="1"/>
    </row>
    <row r="19" spans="1:4" x14ac:dyDescent="0.45">
      <c r="A19" s="1"/>
      <c r="B19" s="58" t="s">
        <v>265</v>
      </c>
      <c r="C19" s="23">
        <v>9.1000000000000004E-3</v>
      </c>
      <c r="D19" s="1"/>
    </row>
    <row r="20" spans="1:4" x14ac:dyDescent="0.45">
      <c r="A20" s="1"/>
      <c r="B20" s="58" t="s">
        <v>124</v>
      </c>
      <c r="C20" s="23">
        <v>1.77E-2</v>
      </c>
      <c r="D20" s="1"/>
    </row>
    <row r="21" spans="1:4" x14ac:dyDescent="0.45">
      <c r="A21" s="1"/>
      <c r="B21" s="58" t="s">
        <v>123</v>
      </c>
      <c r="C21" s="23">
        <v>8.6999999999999994E-3</v>
      </c>
      <c r="D21" s="1"/>
    </row>
    <row r="22" spans="1:4" x14ac:dyDescent="0.45">
      <c r="A22" s="1"/>
      <c r="B22" s="58" t="s">
        <v>125</v>
      </c>
      <c r="C22" s="23">
        <v>2.8400000000000002E-2</v>
      </c>
      <c r="D22" s="1"/>
    </row>
    <row r="23" spans="1:4" x14ac:dyDescent="0.45">
      <c r="A23" s="1"/>
      <c r="B23" s="58" t="s">
        <v>154</v>
      </c>
      <c r="C23" s="33">
        <v>2.75E-2</v>
      </c>
      <c r="D23" s="1"/>
    </row>
    <row r="24" spans="1:4" x14ac:dyDescent="0.45">
      <c r="A24" s="1"/>
      <c r="B24" s="58" t="s">
        <v>221</v>
      </c>
      <c r="C24" s="33">
        <v>1.4800000000000001E-2</v>
      </c>
      <c r="D24" s="1"/>
    </row>
    <row r="25" spans="1:4" x14ac:dyDescent="0.45">
      <c r="A25" s="1"/>
      <c r="B25" s="36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6" t="s">
        <v>106</v>
      </c>
      <c r="C28" s="20"/>
      <c r="D28" s="1"/>
    </row>
    <row r="29" spans="1:4" x14ac:dyDescent="0.45">
      <c r="A29" s="1"/>
      <c r="B29" s="58" t="s">
        <v>126</v>
      </c>
      <c r="C29" s="26">
        <v>0.02</v>
      </c>
      <c r="D29" s="1"/>
    </row>
    <row r="30" spans="1:4" x14ac:dyDescent="0.45">
      <c r="A30" s="1"/>
      <c r="B30" s="36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A7vKJ2zMtIXoO/ci7SU3Y6C/SBnm4WyRSUzJmabk81uD7ibnxUAq/MzERteexP7ds/22DLHPymV+KLJg81Dbqg==" saltValue="pClhjH/SmiT89/+EumA//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7.73046875" style="2" customWidth="1"/>
    <col min="3" max="3" width="12.26562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3" t="s">
        <v>181</v>
      </c>
      <c r="C3" s="83"/>
      <c r="D3" s="83"/>
      <c r="E3" s="1"/>
    </row>
    <row r="4" spans="1:5" ht="15" customHeight="1" x14ac:dyDescent="0.45">
      <c r="A4" s="1"/>
      <c r="B4" s="83"/>
      <c r="C4" s="83"/>
      <c r="D4" s="83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6" t="s">
        <v>14</v>
      </c>
      <c r="C8" s="37"/>
      <c r="D8" s="20"/>
      <c r="E8" s="1"/>
    </row>
    <row r="9" spans="1:5" x14ac:dyDescent="0.45">
      <c r="A9" s="1"/>
      <c r="B9" s="51" t="s">
        <v>26</v>
      </c>
      <c r="C9" s="7">
        <f>'Fane 3. Omkostninger i ØR2021'!E24</f>
        <v>144906622.95802602</v>
      </c>
      <c r="D9" s="8" t="s">
        <v>3</v>
      </c>
      <c r="E9" s="1"/>
    </row>
    <row r="10" spans="1:5" ht="17.100000000000001" customHeight="1" x14ac:dyDescent="0.45">
      <c r="A10" s="1"/>
      <c r="B10" s="49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49" t="s">
        <v>44</v>
      </c>
      <c r="C11" s="9">
        <f>'Fane 10.1. Varige tillæg'!E12</f>
        <v>107553.76000000001</v>
      </c>
      <c r="D11" s="8" t="s">
        <v>3</v>
      </c>
      <c r="E11" s="1"/>
    </row>
    <row r="12" spans="1:5" ht="17.100000000000001" customHeight="1" x14ac:dyDescent="0.45">
      <c r="A12" s="1"/>
      <c r="B12" s="49" t="s">
        <v>30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49" t="s">
        <v>29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49" t="s">
        <v>137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49" t="s">
        <v>138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49" t="s">
        <v>20</v>
      </c>
      <c r="C16" s="9">
        <f>SUM(C9:C15)*'Fane 14. Nøgletal'!C14</f>
        <v>478546.78316948586</v>
      </c>
      <c r="D16" s="8" t="s">
        <v>3</v>
      </c>
      <c r="E16" s="1"/>
    </row>
    <row r="17" spans="1:5" ht="17.100000000000001" customHeight="1" x14ac:dyDescent="0.45">
      <c r="A17" s="1"/>
      <c r="B17" s="49" t="s">
        <v>10</v>
      </c>
      <c r="C17" s="9">
        <f>-SUM(C9,C10:C16)*'Fane 5. Individuelt eff. krav'!G11</f>
        <v>-2909854.47002391</v>
      </c>
      <c r="D17" s="8" t="s">
        <v>3</v>
      </c>
      <c r="E17" s="1"/>
    </row>
    <row r="18" spans="1:5" ht="17.100000000000001" customHeight="1" x14ac:dyDescent="0.45">
      <c r="A18" s="1"/>
      <c r="B18" s="49" t="s">
        <v>27</v>
      </c>
      <c r="C18" s="9">
        <f>-'Fane 4.1. Gen. krav - drift'!G42</f>
        <v>-855645.6479136867</v>
      </c>
      <c r="D18" s="8" t="s">
        <v>3</v>
      </c>
      <c r="E18" s="1"/>
    </row>
    <row r="19" spans="1:5" ht="15" customHeight="1" x14ac:dyDescent="0.45">
      <c r="A19" s="1"/>
      <c r="B19" s="49" t="s">
        <v>28</v>
      </c>
      <c r="C19" s="9">
        <f>-'Fane 4.2. Gen. krav - anlæg'!G41</f>
        <v>-1526016.6754992504</v>
      </c>
      <c r="D19" s="8" t="s">
        <v>3</v>
      </c>
      <c r="E19" s="1"/>
    </row>
    <row r="20" spans="1:5" ht="15" customHeight="1" x14ac:dyDescent="0.45">
      <c r="A20" s="1"/>
      <c r="B20" s="46" t="s">
        <v>22</v>
      </c>
      <c r="C20" s="10">
        <f>SUM(C9,C10:C19)</f>
        <v>140201206.70775864</v>
      </c>
      <c r="D20" s="11" t="s">
        <v>3</v>
      </c>
      <c r="E20" s="1"/>
    </row>
    <row r="21" spans="1:5" ht="15" customHeight="1" x14ac:dyDescent="0.45">
      <c r="A21" s="1"/>
      <c r="B21" s="36" t="s">
        <v>13</v>
      </c>
      <c r="C21" s="37"/>
      <c r="D21" s="20"/>
      <c r="E21" s="1"/>
    </row>
    <row r="22" spans="1:5" ht="15" customHeight="1" x14ac:dyDescent="0.45">
      <c r="A22" s="1"/>
      <c r="B22" s="61" t="s">
        <v>13</v>
      </c>
      <c r="C22" s="10">
        <f>'Fane 6. Ikke-påvirkelige omk.'!C15+'Fane 6. Ikke-påvirkelige omk.'!C19+'Fane 6. Ikke-påvirkelige omk.'!C27</f>
        <v>3379192.7577300007</v>
      </c>
      <c r="D22" s="11" t="s">
        <v>3</v>
      </c>
      <c r="E22" s="1"/>
    </row>
    <row r="23" spans="1:5" ht="15" customHeight="1" x14ac:dyDescent="0.45">
      <c r="A23" s="1"/>
      <c r="B23" s="36" t="s">
        <v>78</v>
      </c>
      <c r="C23" s="37"/>
      <c r="D23" s="20"/>
      <c r="E23" s="1"/>
    </row>
    <row r="24" spans="1:5" ht="15" customHeight="1" x14ac:dyDescent="0.45">
      <c r="A24" s="1"/>
      <c r="B24" s="46" t="s">
        <v>78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6" t="s">
        <v>77</v>
      </c>
      <c r="C25" s="37"/>
      <c r="D25" s="20"/>
      <c r="E25" s="1"/>
    </row>
    <row r="26" spans="1:5" x14ac:dyDescent="0.45">
      <c r="A26" s="1"/>
      <c r="B26" s="49" t="s">
        <v>73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49" t="s">
        <v>74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46" t="s">
        <v>79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6" t="s">
        <v>180</v>
      </c>
      <c r="C29" s="37"/>
      <c r="D29" s="20"/>
      <c r="E29" s="1"/>
    </row>
    <row r="30" spans="1:5" x14ac:dyDescent="0.45">
      <c r="A30" s="1"/>
      <c r="B30" s="61" t="s">
        <v>180</v>
      </c>
      <c r="C30" s="10">
        <f>'Fane 8. Korrektion af ØR2020'!E17</f>
        <v>0</v>
      </c>
      <c r="D30" s="11" t="s">
        <v>3</v>
      </c>
      <c r="E30" s="1"/>
    </row>
    <row r="31" spans="1:5" x14ac:dyDescent="0.45">
      <c r="A31" s="1"/>
      <c r="B31" s="36" t="s">
        <v>170</v>
      </c>
      <c r="C31" s="37"/>
      <c r="D31" s="20"/>
      <c r="E31" s="1"/>
    </row>
    <row r="32" spans="1:5" x14ac:dyDescent="0.45">
      <c r="A32" s="1"/>
      <c r="B32" s="61" t="s">
        <v>297</v>
      </c>
      <c r="C32" s="10">
        <f>'Fane 7. Kontrol af ØR2020'!E32</f>
        <v>0</v>
      </c>
      <c r="D32" s="11" t="s">
        <v>3</v>
      </c>
      <c r="E32" s="1"/>
    </row>
    <row r="33" spans="1:5" x14ac:dyDescent="0.45">
      <c r="A33" s="1"/>
      <c r="B33" s="38" t="s">
        <v>262</v>
      </c>
      <c r="C33" s="37"/>
      <c r="D33" s="20"/>
      <c r="E33" s="1"/>
    </row>
    <row r="34" spans="1:5" x14ac:dyDescent="0.45">
      <c r="A34" s="1"/>
      <c r="B34" s="59" t="s">
        <v>263</v>
      </c>
      <c r="C34" s="10">
        <v>0</v>
      </c>
      <c r="D34" s="11" t="s">
        <v>3</v>
      </c>
      <c r="E34" s="1"/>
    </row>
    <row r="35" spans="1:5" x14ac:dyDescent="0.45">
      <c r="A35" s="1"/>
      <c r="B35" s="36" t="s">
        <v>32</v>
      </c>
      <c r="C35" s="12">
        <f>SUM(C20,C22,C24,C28,C30,C32,C34)</f>
        <v>143580399.46548864</v>
      </c>
      <c r="D35" s="13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B46" s="1"/>
      <c r="C46" s="1"/>
      <c r="D46" s="1"/>
    </row>
    <row r="47" spans="1:5" x14ac:dyDescent="0.45">
      <c r="B47" s="1"/>
      <c r="C47" s="1"/>
      <c r="D47" s="1"/>
    </row>
  </sheetData>
  <sheetProtection algorithmName="SHA-512" hashValue="qNQFKl6TIU1Kl0KRl6jiC68wV2xOlBbgWTyuEQu/KCpWPjH5w1nSlY36yBH8o2wytOnCkOLUQWelBeKJnljaqQ==" saltValue="tGeACAFdc9v2rXyySSDks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7304687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3" t="s">
        <v>182</v>
      </c>
      <c r="C3" s="83"/>
      <c r="D3" s="83"/>
      <c r="E3" s="1"/>
    </row>
    <row r="4" spans="1:5" ht="15" customHeight="1" x14ac:dyDescent="0.45">
      <c r="A4" s="1"/>
      <c r="B4" s="83"/>
      <c r="C4" s="83"/>
      <c r="D4" s="83"/>
      <c r="E4" s="1"/>
    </row>
    <row r="5" spans="1:5" x14ac:dyDescent="0.45">
      <c r="A5" s="1"/>
      <c r="B5" s="84"/>
      <c r="C5" s="84"/>
      <c r="D5" s="8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6" t="s">
        <v>14</v>
      </c>
      <c r="C8" s="37"/>
      <c r="D8" s="20"/>
      <c r="E8" s="1"/>
    </row>
    <row r="9" spans="1:5" ht="15" customHeight="1" x14ac:dyDescent="0.45">
      <c r="A9" s="1"/>
      <c r="B9" s="51" t="s">
        <v>109</v>
      </c>
      <c r="C9" s="7">
        <f>'Fane 2.1. Økonomisk ramme 2022'!C20</f>
        <v>140201206.70775864</v>
      </c>
      <c r="D9" s="8" t="s">
        <v>3</v>
      </c>
      <c r="E9" s="1"/>
    </row>
    <row r="10" spans="1:5" ht="15" customHeight="1" x14ac:dyDescent="0.45">
      <c r="A10" s="1"/>
      <c r="B10" s="49" t="s">
        <v>30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49" t="s">
        <v>29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42" t="s">
        <v>20</v>
      </c>
      <c r="C12" s="9">
        <f>SUM(C9:C11)*'Fane 14. Nøgletal'!C14</f>
        <v>462663.9821356035</v>
      </c>
      <c r="D12" s="8" t="s">
        <v>3</v>
      </c>
      <c r="E12" s="1"/>
    </row>
    <row r="13" spans="1:5" ht="15" customHeight="1" x14ac:dyDescent="0.45">
      <c r="A13" s="1"/>
      <c r="B13" s="42" t="s">
        <v>10</v>
      </c>
      <c r="C13" s="9">
        <f>-SUM(C9:C12)*'Fane 5. Individuelt eff. krav'!G11</f>
        <v>-2813277.4137978847</v>
      </c>
      <c r="D13" s="8" t="s">
        <v>3</v>
      </c>
      <c r="E13" s="1"/>
    </row>
    <row r="14" spans="1:5" ht="15" customHeight="1" x14ac:dyDescent="0.45">
      <c r="A14" s="1"/>
      <c r="B14" s="42" t="s">
        <v>27</v>
      </c>
      <c r="C14" s="9">
        <f>-'Fane 4.1. Gen. krav - drift'!G49</f>
        <v>-841299.8929807659</v>
      </c>
      <c r="D14" s="8" t="s">
        <v>3</v>
      </c>
      <c r="E14" s="1"/>
    </row>
    <row r="15" spans="1:5" ht="15" customHeight="1" x14ac:dyDescent="0.45">
      <c r="A15" s="1"/>
      <c r="B15" s="42" t="s">
        <v>28</v>
      </c>
      <c r="C15" s="9">
        <f>-'Fane 4.2. Gen. krav - anlæg'!G48</f>
        <v>-1508392.953076578</v>
      </c>
      <c r="D15" s="8" t="s">
        <v>3</v>
      </c>
      <c r="E15" s="1"/>
    </row>
    <row r="16" spans="1:5" ht="15" customHeight="1" x14ac:dyDescent="0.45">
      <c r="A16" s="1"/>
      <c r="B16" s="43" t="s">
        <v>22</v>
      </c>
      <c r="C16" s="10">
        <f>SUM(C9:C15)</f>
        <v>135500900.43003902</v>
      </c>
      <c r="D16" s="11" t="s">
        <v>3</v>
      </c>
      <c r="E16" s="1"/>
    </row>
    <row r="17" spans="1:5" ht="15" customHeight="1" x14ac:dyDescent="0.45">
      <c r="A17" s="1"/>
      <c r="B17" s="36" t="s">
        <v>13</v>
      </c>
      <c r="C17" s="37"/>
      <c r="D17" s="20"/>
      <c r="E17" s="1"/>
    </row>
    <row r="18" spans="1:5" ht="15" customHeight="1" x14ac:dyDescent="0.45">
      <c r="A18" s="1"/>
      <c r="B18" s="61" t="s">
        <v>13</v>
      </c>
      <c r="C18" s="10">
        <f>'Fane 6. Ikke-påvirkelige omk.'!C15*(1+'Fane 14. Nøgletal'!C14)+'Fane 6. Ikke-påvirkelige omk.'!C20+'Fane 6. Ikke-påvirkelige omk.'!C28</f>
        <v>3390344.09383051</v>
      </c>
      <c r="D18" s="11" t="s">
        <v>3</v>
      </c>
      <c r="E18" s="1"/>
    </row>
    <row r="19" spans="1:5" ht="15" customHeight="1" x14ac:dyDescent="0.45">
      <c r="A19" s="1"/>
      <c r="B19" s="36" t="s">
        <v>78</v>
      </c>
      <c r="C19" s="37"/>
      <c r="D19" s="20"/>
      <c r="E19" s="1"/>
    </row>
    <row r="20" spans="1:5" ht="15" customHeight="1" x14ac:dyDescent="0.45">
      <c r="A20" s="1"/>
      <c r="B20" s="46" t="s">
        <v>78</v>
      </c>
      <c r="C20" s="10">
        <f>'Fane 11. Periodevise driftsomk.'!E18</f>
        <v>0</v>
      </c>
      <c r="D20" s="11" t="s">
        <v>3</v>
      </c>
      <c r="E20" s="1"/>
    </row>
    <row r="21" spans="1:5" x14ac:dyDescent="0.45">
      <c r="A21" s="1"/>
      <c r="B21" s="36" t="s">
        <v>77</v>
      </c>
      <c r="C21" s="37"/>
      <c r="D21" s="20"/>
      <c r="E21" s="1"/>
    </row>
    <row r="22" spans="1:5" ht="15" customHeight="1" x14ac:dyDescent="0.45">
      <c r="A22" s="1"/>
      <c r="B22" s="49" t="s">
        <v>73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49" t="s">
        <v>74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46" t="s">
        <v>79</v>
      </c>
      <c r="C24" s="10">
        <f>SUM(C22:C23)</f>
        <v>0</v>
      </c>
      <c r="D24" s="11" t="s">
        <v>3</v>
      </c>
      <c r="E24" s="1"/>
    </row>
    <row r="25" spans="1:5" ht="15" customHeight="1" x14ac:dyDescent="0.45">
      <c r="A25" s="1"/>
      <c r="B25" s="36" t="s">
        <v>171</v>
      </c>
      <c r="C25" s="37"/>
      <c r="D25" s="20"/>
      <c r="E25" s="1"/>
    </row>
    <row r="26" spans="1:5" ht="15" customHeight="1" x14ac:dyDescent="0.45">
      <c r="A26" s="1"/>
      <c r="B26" s="61" t="s">
        <v>297</v>
      </c>
      <c r="C26" s="10">
        <f>'Fane 7. Kontrol af ØR2020'!E32</f>
        <v>0</v>
      </c>
      <c r="D26" s="11" t="s">
        <v>3</v>
      </c>
      <c r="E26" s="1"/>
    </row>
    <row r="27" spans="1:5" x14ac:dyDescent="0.45">
      <c r="A27" s="1"/>
      <c r="B27" s="38" t="s">
        <v>262</v>
      </c>
      <c r="C27" s="37"/>
      <c r="D27" s="20"/>
      <c r="E27" s="1"/>
    </row>
    <row r="28" spans="1:5" x14ac:dyDescent="0.45">
      <c r="A28" s="1"/>
      <c r="B28" s="59" t="s">
        <v>263</v>
      </c>
      <c r="C28" s="10">
        <v>0</v>
      </c>
      <c r="D28" s="11" t="s">
        <v>3</v>
      </c>
      <c r="E28" s="1"/>
    </row>
    <row r="29" spans="1:5" ht="15" customHeight="1" x14ac:dyDescent="0.45">
      <c r="A29" s="1"/>
      <c r="B29" s="36" t="s">
        <v>86</v>
      </c>
      <c r="C29" s="12">
        <f>SUM(C16,C18,C20,C24,C26,C28)</f>
        <v>138891244.52386951</v>
      </c>
      <c r="D29" s="13" t="s">
        <v>3</v>
      </c>
      <c r="E29" s="1"/>
    </row>
    <row r="30" spans="1:5" ht="15" customHeight="1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p27edokfQ91h5UDk7KrEG3TKNMkHQjGIF08FtIvKCwrEEAN5TZrD0+MHpISqBxDwUXQckcGhOrdQwYdQ2U+sLA==" saltValue="eMVitJb5H+g28DCPmWLBc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="110" zoomScaleNormal="100" zoomScalePageLayoutView="110" workbookViewId="0"/>
  </sheetViews>
  <sheetFormatPr defaultColWidth="9.1328125" defaultRowHeight="14.25" x14ac:dyDescent="0.45"/>
  <cols>
    <col min="1" max="1" width="5.1328125" style="2" customWidth="1"/>
    <col min="2" max="2" width="61.3984375" style="2" customWidth="1"/>
    <col min="3" max="3" width="11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3" t="s">
        <v>183</v>
      </c>
      <c r="C3" s="83"/>
      <c r="D3" s="83"/>
      <c r="E3" s="1"/>
    </row>
    <row r="4" spans="1:5" ht="15" customHeight="1" x14ac:dyDescent="0.45">
      <c r="A4" s="1"/>
      <c r="B4" s="83"/>
      <c r="C4" s="83"/>
      <c r="D4" s="83"/>
      <c r="E4" s="1"/>
    </row>
    <row r="5" spans="1:5" x14ac:dyDescent="0.45">
      <c r="A5" s="1"/>
      <c r="B5" s="84" t="s">
        <v>23</v>
      </c>
      <c r="C5" s="84"/>
      <c r="D5" s="8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6" t="s">
        <v>14</v>
      </c>
      <c r="C7" s="37"/>
      <c r="D7" s="20"/>
      <c r="E7" s="1"/>
    </row>
    <row r="8" spans="1:5" ht="15" customHeight="1" x14ac:dyDescent="0.45">
      <c r="A8" s="1"/>
      <c r="B8" s="51" t="s">
        <v>139</v>
      </c>
      <c r="C8" s="7">
        <f>'Fane 2.2. Økonomisk ramme 2023'!C16</f>
        <v>135500900.43003902</v>
      </c>
      <c r="D8" s="8" t="s">
        <v>3</v>
      </c>
      <c r="E8" s="1"/>
    </row>
    <row r="9" spans="1:5" ht="15" customHeight="1" x14ac:dyDescent="0.45">
      <c r="A9" s="1"/>
      <c r="B9" s="51" t="s">
        <v>30</v>
      </c>
      <c r="C9" s="7">
        <f>-'Fane 13. Bortfald'!C24</f>
        <v>0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13. Bortfald'!E24</f>
        <v>0</v>
      </c>
      <c r="D10" s="8" t="s">
        <v>3</v>
      </c>
      <c r="E10" s="1"/>
    </row>
    <row r="11" spans="1:5" ht="15" customHeight="1" x14ac:dyDescent="0.45">
      <c r="A11" s="1"/>
      <c r="B11" s="42" t="s">
        <v>20</v>
      </c>
      <c r="C11" s="9">
        <f>SUM(C8:C10)*'Fane 14. Nøgletal'!C14</f>
        <v>447152.97141912876</v>
      </c>
      <c r="D11" s="8" t="s">
        <v>3</v>
      </c>
      <c r="E11" s="1"/>
    </row>
    <row r="12" spans="1:5" ht="15" customHeight="1" x14ac:dyDescent="0.45">
      <c r="A12" s="1"/>
      <c r="B12" s="42" t="s">
        <v>10</v>
      </c>
      <c r="C12" s="9">
        <f>-SUM(C8:C11)*'Fane 5. Individuelt eff. krav'!G11</f>
        <v>-2718961.0680291629</v>
      </c>
      <c r="D12" s="8" t="s">
        <v>3</v>
      </c>
      <c r="E12" s="1"/>
    </row>
    <row r="13" spans="1:5" ht="15" customHeight="1" x14ac:dyDescent="0.45">
      <c r="A13" s="1"/>
      <c r="B13" s="42" t="s">
        <v>27</v>
      </c>
      <c r="C13" s="9">
        <f>-'Fane 4.1. Gen. krav - drift'!G56</f>
        <v>-827194.65897505032</v>
      </c>
      <c r="D13" s="8" t="s">
        <v>3</v>
      </c>
      <c r="E13" s="1"/>
    </row>
    <row r="14" spans="1:5" ht="15" customHeight="1" x14ac:dyDescent="0.45">
      <c r="A14" s="1"/>
      <c r="B14" s="42" t="s">
        <v>28</v>
      </c>
      <c r="C14" s="9">
        <f>-'Fane 4.2. Gen. krav - anlæg'!G54</f>
        <v>-1490972.7642043692</v>
      </c>
      <c r="D14" s="8" t="s">
        <v>3</v>
      </c>
      <c r="E14" s="1"/>
    </row>
    <row r="15" spans="1:5" x14ac:dyDescent="0.45">
      <c r="A15" s="1"/>
      <c r="B15" s="43" t="s">
        <v>22</v>
      </c>
      <c r="C15" s="10">
        <f>SUM(C8:C14)</f>
        <v>130910924.91024956</v>
      </c>
      <c r="D15" s="11" t="s">
        <v>3</v>
      </c>
      <c r="E15" s="1"/>
    </row>
    <row r="16" spans="1:5" x14ac:dyDescent="0.45">
      <c r="A16" s="1"/>
      <c r="B16" s="36" t="s">
        <v>13</v>
      </c>
      <c r="C16" s="37"/>
      <c r="D16" s="20"/>
      <c r="E16" s="1"/>
    </row>
    <row r="17" spans="1:5" ht="15" customHeight="1" x14ac:dyDescent="0.45">
      <c r="A17" s="1"/>
      <c r="B17" s="61" t="s">
        <v>13</v>
      </c>
      <c r="C17" s="10">
        <f>'Fane 6. Ikke-påvirkelige omk.'!C15*(1+'Fane 14. Nøgletal'!C14)^2+'Fane 6. Ikke-påvirkelige omk.'!C21+'Fane 6. Ikke-påvirkelige omk.'!C29</f>
        <v>3401532.229340151</v>
      </c>
      <c r="D17" s="11" t="s">
        <v>3</v>
      </c>
      <c r="E17" s="1"/>
    </row>
    <row r="18" spans="1:5" ht="15" customHeight="1" x14ac:dyDescent="0.45">
      <c r="A18" s="1"/>
      <c r="B18" s="36" t="s">
        <v>78</v>
      </c>
      <c r="C18" s="37"/>
      <c r="D18" s="20"/>
      <c r="E18" s="1"/>
    </row>
    <row r="19" spans="1:5" ht="15" customHeight="1" x14ac:dyDescent="0.45">
      <c r="A19" s="1"/>
      <c r="B19" s="46" t="s">
        <v>78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45">
      <c r="A20" s="1"/>
      <c r="B20" s="36" t="s">
        <v>77</v>
      </c>
      <c r="C20" s="37"/>
      <c r="D20" s="20"/>
      <c r="E20" s="1"/>
    </row>
    <row r="21" spans="1:5" ht="15" customHeight="1" x14ac:dyDescent="0.45">
      <c r="A21" s="1"/>
      <c r="B21" s="49" t="s">
        <v>73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45">
      <c r="A22" s="1"/>
      <c r="B22" s="49" t="s">
        <v>74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45">
      <c r="A23" s="1"/>
      <c r="B23" s="46" t="s">
        <v>79</v>
      </c>
      <c r="C23" s="10">
        <f>SUM(C21:C22)</f>
        <v>0</v>
      </c>
      <c r="D23" s="11" t="s">
        <v>3</v>
      </c>
      <c r="E23" s="1"/>
    </row>
    <row r="24" spans="1:5" x14ac:dyDescent="0.45">
      <c r="A24" s="1"/>
      <c r="B24" s="38" t="s">
        <v>262</v>
      </c>
      <c r="C24" s="37"/>
      <c r="D24" s="20"/>
      <c r="E24" s="1"/>
    </row>
    <row r="25" spans="1:5" x14ac:dyDescent="0.45">
      <c r="A25" s="1"/>
      <c r="B25" s="59" t="s">
        <v>263</v>
      </c>
      <c r="C25" s="10">
        <v>0</v>
      </c>
      <c r="D25" s="11" t="s">
        <v>3</v>
      </c>
      <c r="E25" s="1"/>
    </row>
    <row r="26" spans="1:5" x14ac:dyDescent="0.45">
      <c r="A26" s="1"/>
      <c r="B26" s="36" t="s">
        <v>140</v>
      </c>
      <c r="C26" s="12">
        <f>SUM(C15,C17,C19,C23,C25)</f>
        <v>134312457.13958973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82RoP3OECHnCNBV91SKZ1sNLqW4PM+Ntkl3Q+ZdvDF9+qdE1gVturJz4PaI0R9oAmc+GQrYvuZ/gyXgmkuwnUw==" saltValue="aQK4aZ1Ucb4eaYxitUnhw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86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3" t="s">
        <v>184</v>
      </c>
      <c r="C3" s="83"/>
      <c r="D3" s="83"/>
      <c r="E3" s="1"/>
    </row>
    <row r="4" spans="1:5" ht="15" customHeight="1" x14ac:dyDescent="0.45">
      <c r="A4" s="1"/>
      <c r="B4" s="83"/>
      <c r="C4" s="83"/>
      <c r="D4" s="83"/>
      <c r="E4" s="1"/>
    </row>
    <row r="5" spans="1:5" x14ac:dyDescent="0.45">
      <c r="A5" s="1"/>
      <c r="B5" s="84" t="s">
        <v>23</v>
      </c>
      <c r="C5" s="84"/>
      <c r="D5" s="8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6" t="s">
        <v>14</v>
      </c>
      <c r="C7" s="37"/>
      <c r="D7" s="20"/>
      <c r="E7" s="1"/>
    </row>
    <row r="8" spans="1:5" ht="15" customHeight="1" x14ac:dyDescent="0.45">
      <c r="A8" s="1"/>
      <c r="B8" s="51" t="s">
        <v>185</v>
      </c>
      <c r="C8" s="7">
        <f>'Fane 2.3. Økonomisk ramme 2024'!C15</f>
        <v>130910924.91024956</v>
      </c>
      <c r="D8" s="8" t="s">
        <v>3</v>
      </c>
      <c r="E8" s="1"/>
    </row>
    <row r="9" spans="1:5" ht="15" customHeight="1" x14ac:dyDescent="0.45">
      <c r="A9" s="1"/>
      <c r="B9" s="51" t="s">
        <v>30</v>
      </c>
      <c r="C9" s="7">
        <f>-'Fane 13. Bortfald'!C30</f>
        <v>0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13. Bortfald'!E30</f>
        <v>0</v>
      </c>
      <c r="D10" s="8" t="s">
        <v>3</v>
      </c>
      <c r="E10" s="1"/>
    </row>
    <row r="11" spans="1:5" ht="15" customHeight="1" x14ac:dyDescent="0.45">
      <c r="A11" s="1"/>
      <c r="B11" s="42" t="s">
        <v>20</v>
      </c>
      <c r="C11" s="9">
        <f>SUM(C8:C10)*'Fane 14. Nøgletal'!C14</f>
        <v>432006.05220382352</v>
      </c>
      <c r="D11" s="8" t="s">
        <v>3</v>
      </c>
      <c r="E11" s="1"/>
    </row>
    <row r="12" spans="1:5" ht="15" customHeight="1" x14ac:dyDescent="0.45">
      <c r="A12" s="1"/>
      <c r="B12" s="42" t="s">
        <v>10</v>
      </c>
      <c r="C12" s="9">
        <f>-SUM(C8:C11)*'Fane 5. Individuelt eff. krav'!G11</f>
        <v>-2626858.6192490677</v>
      </c>
      <c r="D12" s="8" t="s">
        <v>3</v>
      </c>
      <c r="E12" s="1"/>
    </row>
    <row r="13" spans="1:5" ht="15" customHeight="1" x14ac:dyDescent="0.45">
      <c r="A13" s="1"/>
      <c r="B13" s="42" t="s">
        <v>27</v>
      </c>
      <c r="C13" s="9">
        <f>-'Fane 4.1. Gen. krav - drift'!G62</f>
        <v>-813325.91332267469</v>
      </c>
      <c r="D13" s="8" t="s">
        <v>3</v>
      </c>
      <c r="E13" s="1"/>
    </row>
    <row r="14" spans="1:5" ht="15" customHeight="1" x14ac:dyDescent="0.45">
      <c r="A14" s="1"/>
      <c r="B14" s="42" t="s">
        <v>28</v>
      </c>
      <c r="C14" s="9">
        <f>-'Fane 4.2. Gen. krav - anlæg'!G60</f>
        <v>-1473753.7583062153</v>
      </c>
      <c r="D14" s="8" t="s">
        <v>3</v>
      </c>
      <c r="E14" s="1"/>
    </row>
    <row r="15" spans="1:5" x14ac:dyDescent="0.45">
      <c r="A15" s="1"/>
      <c r="B15" s="43" t="s">
        <v>22</v>
      </c>
      <c r="C15" s="10">
        <f>SUM(C8:C14)</f>
        <v>126428992.67157543</v>
      </c>
      <c r="D15" s="11" t="s">
        <v>3</v>
      </c>
      <c r="E15" s="1"/>
    </row>
    <row r="16" spans="1:5" x14ac:dyDescent="0.45">
      <c r="A16" s="1"/>
      <c r="B16" s="36" t="s">
        <v>13</v>
      </c>
      <c r="C16" s="37"/>
      <c r="D16" s="20"/>
      <c r="E16" s="1"/>
    </row>
    <row r="17" spans="1:5" ht="15" customHeight="1" x14ac:dyDescent="0.45">
      <c r="A17" s="1"/>
      <c r="B17" s="61" t="s">
        <v>13</v>
      </c>
      <c r="C17" s="10">
        <f>'Fane 6. Ikke-påvirkelige omk.'!C15*(1+'Fane 14. Nøgletal'!C14)^3+'Fane 6. Ikke-påvirkelige omk.'!C22+'Fane 6. Ikke-påvirkelige omk.'!C30</f>
        <v>3412757.2856969736</v>
      </c>
      <c r="D17" s="11" t="s">
        <v>3</v>
      </c>
      <c r="E17" s="1"/>
    </row>
    <row r="18" spans="1:5" ht="15" customHeight="1" x14ac:dyDescent="0.45">
      <c r="A18" s="1"/>
      <c r="B18" s="36" t="s">
        <v>78</v>
      </c>
      <c r="C18" s="37"/>
      <c r="D18" s="20"/>
      <c r="E18" s="1"/>
    </row>
    <row r="19" spans="1:5" ht="15" customHeight="1" x14ac:dyDescent="0.45">
      <c r="A19" s="1"/>
      <c r="B19" s="46" t="s">
        <v>78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45">
      <c r="A20" s="1"/>
      <c r="B20" s="36" t="s">
        <v>77</v>
      </c>
      <c r="C20" s="37"/>
      <c r="D20" s="20"/>
      <c r="E20" s="1"/>
    </row>
    <row r="21" spans="1:5" ht="15" customHeight="1" x14ac:dyDescent="0.45">
      <c r="A21" s="1"/>
      <c r="B21" s="49" t="s">
        <v>73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45">
      <c r="A22" s="1"/>
      <c r="B22" s="49" t="s">
        <v>74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45">
      <c r="A23" s="1"/>
      <c r="B23" s="46" t="s">
        <v>79</v>
      </c>
      <c r="C23" s="10">
        <f>SUM(C21:C22)</f>
        <v>0</v>
      </c>
      <c r="D23" s="11" t="s">
        <v>3</v>
      </c>
      <c r="E23" s="1"/>
    </row>
    <row r="24" spans="1:5" ht="15" customHeight="1" x14ac:dyDescent="0.45">
      <c r="A24" s="1"/>
      <c r="B24" s="36" t="s">
        <v>186</v>
      </c>
      <c r="C24" s="12">
        <f>SUM(C15,C17,C19,C23)</f>
        <v>129841749.9572724</v>
      </c>
      <c r="D24" s="13" t="s">
        <v>3</v>
      </c>
      <c r="E24" s="1"/>
    </row>
    <row r="25" spans="1:5" ht="15" customHeight="1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52PXy+IqxnAODCW1j70XyobVuyeD8XwuIc+KVf9muW6IwOooE+d8NKdk0L+gU1kaaAVjSV4a8QQna0hDxzdHug==" saltValue="OIjV0678lVpQnIjF/S9BM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4.25" x14ac:dyDescent="0.45"/>
  <cols>
    <col min="1" max="1" width="7.86328125" style="2" customWidth="1"/>
    <col min="2" max="2" width="12.1328125" style="2" customWidth="1"/>
    <col min="3" max="3" width="12" style="2" customWidth="1"/>
    <col min="4" max="4" width="31.73046875" style="2" customWidth="1"/>
    <col min="5" max="5" width="10.86328125" style="2" bestFit="1" customWidth="1"/>
    <col min="6" max="6" width="3.59765625" style="2" bestFit="1" customWidth="1"/>
    <col min="7" max="7" width="7.863281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5" t="s">
        <v>187</v>
      </c>
      <c r="C3" s="85"/>
      <c r="D3" s="85"/>
      <c r="E3" s="85"/>
      <c r="F3" s="85"/>
      <c r="G3" s="1"/>
    </row>
    <row r="4" spans="1:7" ht="29.25" customHeight="1" x14ac:dyDescent="0.45">
      <c r="A4" s="1"/>
      <c r="B4" s="85"/>
      <c r="C4" s="85"/>
      <c r="D4" s="85"/>
      <c r="E4" s="85"/>
      <c r="F4" s="8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188</v>
      </c>
      <c r="C8" s="37"/>
      <c r="D8" s="37"/>
      <c r="E8" s="37"/>
      <c r="F8" s="20"/>
      <c r="G8" s="1"/>
    </row>
    <row r="9" spans="1:7" x14ac:dyDescent="0.45">
      <c r="A9" s="1"/>
      <c r="B9" s="86" t="s">
        <v>25</v>
      </c>
      <c r="C9" s="87"/>
      <c r="D9" s="88"/>
      <c r="E9" s="7">
        <v>139789555.64745989</v>
      </c>
      <c r="F9" s="8" t="s">
        <v>3</v>
      </c>
      <c r="G9" s="1"/>
    </row>
    <row r="10" spans="1:7" ht="14.25" customHeight="1" x14ac:dyDescent="0.45">
      <c r="A10" s="1"/>
      <c r="B10" s="92" t="s">
        <v>227</v>
      </c>
      <c r="C10" s="93"/>
      <c r="D10" s="94"/>
      <c r="E10" s="7">
        <v>0</v>
      </c>
      <c r="F10" s="8" t="s">
        <v>3</v>
      </c>
      <c r="G10" s="1"/>
    </row>
    <row r="11" spans="1:7" ht="14.25" customHeight="1" x14ac:dyDescent="0.45">
      <c r="A11" s="1"/>
      <c r="B11" s="92" t="s">
        <v>228</v>
      </c>
      <c r="C11" s="93"/>
      <c r="D11" s="94"/>
      <c r="E11" s="7">
        <v>1168684.2504376413</v>
      </c>
      <c r="F11" s="8" t="s">
        <v>3</v>
      </c>
      <c r="G11" s="1"/>
    </row>
    <row r="12" spans="1:7" x14ac:dyDescent="0.45">
      <c r="A12" s="1"/>
      <c r="B12" s="92" t="s">
        <v>189</v>
      </c>
      <c r="C12" s="93"/>
      <c r="D12" s="94"/>
      <c r="E12" s="9">
        <v>0</v>
      </c>
      <c r="F12" s="8" t="s">
        <v>3</v>
      </c>
      <c r="G12" s="1"/>
    </row>
    <row r="13" spans="1:7" x14ac:dyDescent="0.45">
      <c r="A13" s="1"/>
      <c r="B13" s="92" t="s">
        <v>190</v>
      </c>
      <c r="C13" s="93"/>
      <c r="D13" s="94"/>
      <c r="E13" s="9">
        <v>1048196.66773559</v>
      </c>
      <c r="F13" s="8" t="s">
        <v>3</v>
      </c>
      <c r="G13" s="1"/>
    </row>
    <row r="14" spans="1:7" x14ac:dyDescent="0.45">
      <c r="A14" s="1"/>
      <c r="B14" s="89" t="s">
        <v>43</v>
      </c>
      <c r="C14" s="90"/>
      <c r="D14" s="91"/>
      <c r="E14" s="9">
        <v>3435771.1919999998</v>
      </c>
      <c r="F14" s="8" t="s">
        <v>3</v>
      </c>
      <c r="G14" s="1"/>
    </row>
    <row r="15" spans="1:7" x14ac:dyDescent="0.45">
      <c r="A15" s="1"/>
      <c r="B15" s="89" t="s">
        <v>44</v>
      </c>
      <c r="C15" s="90"/>
      <c r="D15" s="91"/>
      <c r="E15" s="9">
        <v>1908306.7331999999</v>
      </c>
      <c r="F15" s="8" t="s">
        <v>3</v>
      </c>
      <c r="G15" s="1"/>
    </row>
    <row r="16" spans="1:7" x14ac:dyDescent="0.45">
      <c r="A16" s="1"/>
      <c r="B16" s="89" t="s">
        <v>30</v>
      </c>
      <c r="C16" s="90"/>
      <c r="D16" s="91"/>
      <c r="E16" s="9">
        <v>0</v>
      </c>
      <c r="F16" s="8" t="s">
        <v>3</v>
      </c>
      <c r="G16" s="1"/>
    </row>
    <row r="17" spans="1:7" x14ac:dyDescent="0.45">
      <c r="A17" s="1"/>
      <c r="B17" s="89" t="s">
        <v>29</v>
      </c>
      <c r="C17" s="90"/>
      <c r="D17" s="91"/>
      <c r="E17" s="9">
        <v>0</v>
      </c>
      <c r="F17" s="8" t="s">
        <v>3</v>
      </c>
      <c r="G17" s="1"/>
    </row>
    <row r="18" spans="1:7" x14ac:dyDescent="0.45">
      <c r="A18" s="1"/>
      <c r="B18" s="89" t="s">
        <v>137</v>
      </c>
      <c r="C18" s="90"/>
      <c r="D18" s="91"/>
      <c r="E18" s="9">
        <v>0</v>
      </c>
      <c r="F18" s="8" t="s">
        <v>3</v>
      </c>
      <c r="G18" s="1"/>
    </row>
    <row r="19" spans="1:7" x14ac:dyDescent="0.45">
      <c r="A19" s="1"/>
      <c r="B19" s="89" t="s">
        <v>138</v>
      </c>
      <c r="C19" s="90"/>
      <c r="D19" s="91"/>
      <c r="E19" s="9">
        <v>0</v>
      </c>
      <c r="F19" s="8" t="s">
        <v>3</v>
      </c>
      <c r="G19" s="1"/>
    </row>
    <row r="20" spans="1:7" x14ac:dyDescent="0.45">
      <c r="A20" s="1"/>
      <c r="B20" s="89" t="s">
        <v>20</v>
      </c>
      <c r="C20" s="90"/>
      <c r="D20" s="91"/>
      <c r="E20" s="9">
        <v>2513119.7966367444</v>
      </c>
      <c r="F20" s="8" t="s">
        <v>3</v>
      </c>
      <c r="G20" s="1"/>
    </row>
    <row r="21" spans="1:7" x14ac:dyDescent="0.45">
      <c r="A21" s="1"/>
      <c r="B21" s="89" t="s">
        <v>10</v>
      </c>
      <c r="C21" s="90"/>
      <c r="D21" s="91"/>
      <c r="E21" s="9">
        <v>0</v>
      </c>
      <c r="F21" s="8" t="s">
        <v>3</v>
      </c>
      <c r="G21" s="1"/>
    </row>
    <row r="22" spans="1:7" x14ac:dyDescent="0.45">
      <c r="A22" s="1"/>
      <c r="B22" s="89" t="s">
        <v>27</v>
      </c>
      <c r="C22" s="90"/>
      <c r="D22" s="91"/>
      <c r="E22" s="9">
        <f>-'Fane 4.1. Gen. krav - drift'!G36</f>
        <v>-870236.02511069237</v>
      </c>
      <c r="F22" s="8" t="s">
        <v>3</v>
      </c>
      <c r="G22" s="1"/>
    </row>
    <row r="23" spans="1:7" x14ac:dyDescent="0.45">
      <c r="A23" s="1"/>
      <c r="B23" s="89" t="s">
        <v>28</v>
      </c>
      <c r="C23" s="90"/>
      <c r="D23" s="91"/>
      <c r="E23" s="9">
        <f>-'Fane 4.2. Gen. krav - anlæg'!G35</f>
        <v>-1869894.3861599399</v>
      </c>
      <c r="F23" s="8" t="s">
        <v>3</v>
      </c>
      <c r="G23" s="1"/>
    </row>
    <row r="24" spans="1:7" x14ac:dyDescent="0.45">
      <c r="A24" s="1"/>
      <c r="B24" s="101" t="s">
        <v>22</v>
      </c>
      <c r="C24" s="102"/>
      <c r="D24" s="103"/>
      <c r="E24" s="10">
        <f>SUM(E9,E14:E23)</f>
        <v>144906622.95802602</v>
      </c>
      <c r="F24" s="11" t="s">
        <v>3</v>
      </c>
      <c r="G24" s="1"/>
    </row>
    <row r="25" spans="1:7" x14ac:dyDescent="0.45">
      <c r="A25" s="1"/>
      <c r="B25" s="36" t="s">
        <v>13</v>
      </c>
      <c r="C25" s="37"/>
      <c r="D25" s="37"/>
      <c r="E25" s="37"/>
      <c r="F25" s="20"/>
      <c r="G25" s="1"/>
    </row>
    <row r="26" spans="1:7" ht="14.25" customHeight="1" x14ac:dyDescent="0.45">
      <c r="A26" s="1"/>
      <c r="B26" s="98" t="s">
        <v>13</v>
      </c>
      <c r="C26" s="99"/>
      <c r="D26" s="100"/>
      <c r="E26" s="10">
        <v>2507071.0114799999</v>
      </c>
      <c r="F26" s="10" t="s">
        <v>3</v>
      </c>
      <c r="G26" s="1"/>
    </row>
    <row r="27" spans="1:7" ht="14.25" customHeight="1" x14ac:dyDescent="0.45">
      <c r="A27" s="1"/>
      <c r="B27" s="36" t="s">
        <v>78</v>
      </c>
      <c r="C27" s="37"/>
      <c r="D27" s="37"/>
      <c r="E27" s="37"/>
      <c r="F27" s="20"/>
      <c r="G27" s="1"/>
    </row>
    <row r="28" spans="1:7" x14ac:dyDescent="0.45">
      <c r="A28" s="1"/>
      <c r="B28" s="104" t="s">
        <v>78</v>
      </c>
      <c r="C28" s="105"/>
      <c r="D28" s="106"/>
      <c r="E28" s="10">
        <v>0</v>
      </c>
      <c r="F28" s="10" t="s">
        <v>3</v>
      </c>
      <c r="G28" s="1"/>
    </row>
    <row r="29" spans="1:7" x14ac:dyDescent="0.45">
      <c r="A29" s="1"/>
      <c r="B29" s="36" t="s">
        <v>77</v>
      </c>
      <c r="C29" s="37"/>
      <c r="D29" s="37"/>
      <c r="E29" s="37"/>
      <c r="F29" s="20"/>
      <c r="G29" s="1"/>
    </row>
    <row r="30" spans="1:7" ht="15.4" customHeight="1" x14ac:dyDescent="0.45">
      <c r="A30" s="1"/>
      <c r="B30" s="92" t="s">
        <v>73</v>
      </c>
      <c r="C30" s="93"/>
      <c r="D30" s="94"/>
      <c r="E30" s="34">
        <v>0</v>
      </c>
      <c r="F30" s="8" t="s">
        <v>3</v>
      </c>
      <c r="G30" s="1"/>
    </row>
    <row r="31" spans="1:7" ht="15.75" customHeight="1" x14ac:dyDescent="0.45">
      <c r="A31" s="1"/>
      <c r="B31" s="92" t="s">
        <v>74</v>
      </c>
      <c r="C31" s="93"/>
      <c r="D31" s="94"/>
      <c r="E31" s="34">
        <v>0</v>
      </c>
      <c r="F31" s="8" t="s">
        <v>3</v>
      </c>
      <c r="G31" s="1"/>
    </row>
    <row r="32" spans="1:7" x14ac:dyDescent="0.45">
      <c r="A32" s="1"/>
      <c r="B32" s="46" t="s">
        <v>79</v>
      </c>
      <c r="C32" s="44"/>
      <c r="D32" s="45"/>
      <c r="E32" s="10">
        <v>0</v>
      </c>
      <c r="F32" s="11" t="s">
        <v>3</v>
      </c>
      <c r="G32" s="1"/>
    </row>
    <row r="33" spans="1:7" x14ac:dyDescent="0.45">
      <c r="A33" s="1"/>
      <c r="B33" s="36" t="s">
        <v>294</v>
      </c>
      <c r="C33" s="37"/>
      <c r="D33" s="37"/>
      <c r="E33" s="37"/>
      <c r="F33" s="20"/>
      <c r="G33" s="1"/>
    </row>
    <row r="34" spans="1:7" ht="15" customHeight="1" x14ac:dyDescent="0.45">
      <c r="A34" s="1"/>
      <c r="B34" s="98" t="s">
        <v>294</v>
      </c>
      <c r="C34" s="99"/>
      <c r="D34" s="100"/>
      <c r="E34" s="10">
        <v>0</v>
      </c>
      <c r="F34" s="11" t="s">
        <v>3</v>
      </c>
      <c r="G34" s="1"/>
    </row>
    <row r="35" spans="1:7" x14ac:dyDescent="0.45">
      <c r="A35" s="1"/>
      <c r="B35" s="36" t="s">
        <v>31</v>
      </c>
      <c r="C35" s="37"/>
      <c r="D35" s="37"/>
      <c r="E35" s="12">
        <f>E24+E26+E28+E32+E34</f>
        <v>147413693.96950603</v>
      </c>
      <c r="F35" s="13" t="s">
        <v>3</v>
      </c>
      <c r="G35" s="1"/>
    </row>
    <row r="36" spans="1:7" ht="26.85" customHeight="1" x14ac:dyDescent="0.45">
      <c r="A36" s="1"/>
      <c r="B36" s="95" t="s">
        <v>226</v>
      </c>
      <c r="C36" s="96"/>
      <c r="D36" s="96"/>
      <c r="E36" s="96"/>
      <c r="F36" s="97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O8Q3y3mx+g448Pmrpsx1pX9kqlk7no9Rh+74fUFCNgPmq3pXja853utt92AtcGOTgixF/njPn+ghUxi+Us/jKg==" saltValue="1syr+XFgkXHI9F1gfKBAxA==" spinCount="100000" sheet="1" objects="1" scenarios="1"/>
  <mergeCells count="23">
    <mergeCell ref="B36:F36"/>
    <mergeCell ref="B34:D34"/>
    <mergeCell ref="B17:D17"/>
    <mergeCell ref="B18:D18"/>
    <mergeCell ref="B19:D19"/>
    <mergeCell ref="B20:D20"/>
    <mergeCell ref="B21:D21"/>
    <mergeCell ref="B22:D22"/>
    <mergeCell ref="B26:D26"/>
    <mergeCell ref="B23:D23"/>
    <mergeCell ref="B24:D24"/>
    <mergeCell ref="B28:D28"/>
    <mergeCell ref="B30:D30"/>
    <mergeCell ref="B31:D31"/>
    <mergeCell ref="B3:F4"/>
    <mergeCell ref="B9:D9"/>
    <mergeCell ref="B14:D14"/>
    <mergeCell ref="B15:D15"/>
    <mergeCell ref="B16:D16"/>
    <mergeCell ref="B12:D12"/>
    <mergeCell ref="B13:D13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85" t="s">
        <v>121</v>
      </c>
      <c r="C1" s="85"/>
      <c r="D1" s="85"/>
      <c r="E1" s="85"/>
      <c r="F1" s="85"/>
      <c r="G1" s="85"/>
      <c r="H1" s="85"/>
      <c r="I1" s="1"/>
    </row>
    <row r="2" spans="1:9" ht="15" customHeight="1" x14ac:dyDescent="0.45">
      <c r="A2" s="1"/>
      <c r="B2" s="85"/>
      <c r="C2" s="85"/>
      <c r="D2" s="85"/>
      <c r="E2" s="85"/>
      <c r="F2" s="85"/>
      <c r="G2" s="85"/>
      <c r="H2" s="85"/>
      <c r="I2" s="1"/>
    </row>
    <row r="3" spans="1:9" ht="15" customHeight="1" x14ac:dyDescent="0.45">
      <c r="A3" s="1"/>
      <c r="B3" s="85"/>
      <c r="C3" s="85"/>
      <c r="D3" s="85"/>
      <c r="E3" s="85"/>
      <c r="F3" s="85"/>
      <c r="G3" s="85"/>
      <c r="H3" s="85"/>
      <c r="I3" s="1"/>
    </row>
    <row r="4" spans="1:9" x14ac:dyDescent="0.45">
      <c r="A4" s="1"/>
      <c r="B4" s="113" t="s">
        <v>229</v>
      </c>
      <c r="C4" s="114"/>
      <c r="D4" s="114"/>
      <c r="E4" s="114"/>
      <c r="F4" s="114"/>
      <c r="G4" s="114"/>
      <c r="H4" s="115"/>
      <c r="I4" s="1"/>
    </row>
    <row r="5" spans="1:9" x14ac:dyDescent="0.45">
      <c r="A5" s="1"/>
      <c r="B5" s="107" t="s">
        <v>230</v>
      </c>
      <c r="C5" s="108"/>
      <c r="D5" s="108"/>
      <c r="E5" s="108"/>
      <c r="F5" s="109"/>
      <c r="G5" s="24">
        <v>40493772.949501909</v>
      </c>
      <c r="H5" s="14" t="s">
        <v>3</v>
      </c>
      <c r="I5" s="1"/>
    </row>
    <row r="6" spans="1:9" ht="15" customHeight="1" x14ac:dyDescent="0.45">
      <c r="A6" s="1"/>
      <c r="B6" s="95" t="s">
        <v>231</v>
      </c>
      <c r="C6" s="96"/>
      <c r="D6" s="96"/>
      <c r="E6" s="96"/>
      <c r="F6" s="97"/>
      <c r="G6" s="64">
        <v>0</v>
      </c>
      <c r="H6" s="14" t="s">
        <v>3</v>
      </c>
      <c r="I6" s="1"/>
    </row>
    <row r="7" spans="1:9" x14ac:dyDescent="0.45">
      <c r="A7" s="1"/>
      <c r="B7" s="107" t="s">
        <v>232</v>
      </c>
      <c r="C7" s="108"/>
      <c r="D7" s="108"/>
      <c r="E7" s="108"/>
      <c r="F7" s="109"/>
      <c r="G7" s="24">
        <f>SUM(G5:G6)*'Fane 14. Nøgletal'!C29</f>
        <v>809875.45899003826</v>
      </c>
      <c r="H7" s="14" t="s">
        <v>3</v>
      </c>
      <c r="I7" s="1"/>
    </row>
    <row r="8" spans="1:9" x14ac:dyDescent="0.45">
      <c r="A8" s="1"/>
      <c r="B8" s="36"/>
      <c r="C8" s="37"/>
      <c r="D8" s="37"/>
      <c r="E8" s="37"/>
      <c r="F8" s="37"/>
      <c r="G8" s="37"/>
      <c r="H8" s="20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113" t="s">
        <v>53</v>
      </c>
      <c r="C10" s="114"/>
      <c r="D10" s="114"/>
      <c r="E10" s="114"/>
      <c r="F10" s="114"/>
      <c r="G10" s="114"/>
      <c r="H10" s="115"/>
      <c r="I10" s="1"/>
    </row>
    <row r="11" spans="1:9" x14ac:dyDescent="0.45">
      <c r="A11" s="1"/>
      <c r="B11" s="107" t="s">
        <v>233</v>
      </c>
      <c r="C11" s="108"/>
      <c r="D11" s="108"/>
      <c r="E11" s="108"/>
      <c r="F11" s="109"/>
      <c r="G11" s="24">
        <f>(G5-G7)*(1+'Fane 14. Nøgletal'!C10)</f>
        <v>40378365.696595833</v>
      </c>
      <c r="H11" s="14" t="s">
        <v>3</v>
      </c>
      <c r="I11" s="1"/>
    </row>
    <row r="12" spans="1:9" x14ac:dyDescent="0.45">
      <c r="A12" s="1"/>
      <c r="B12" s="107" t="s">
        <v>133</v>
      </c>
      <c r="C12" s="108"/>
      <c r="D12" s="108"/>
      <c r="E12" s="108"/>
      <c r="F12" s="109"/>
      <c r="G12" s="64">
        <v>0</v>
      </c>
      <c r="H12" s="14" t="s">
        <v>3</v>
      </c>
      <c r="I12" s="1"/>
    </row>
    <row r="13" spans="1:9" x14ac:dyDescent="0.45">
      <c r="A13" s="1"/>
      <c r="B13" s="95" t="s">
        <v>131</v>
      </c>
      <c r="C13" s="96"/>
      <c r="D13" s="96"/>
      <c r="E13" s="96"/>
      <c r="F13" s="97"/>
      <c r="G13" s="64">
        <v>0</v>
      </c>
      <c r="H13" s="14" t="s">
        <v>3</v>
      </c>
      <c r="I13" s="1"/>
    </row>
    <row r="14" spans="1:9" x14ac:dyDescent="0.45">
      <c r="A14" s="1"/>
      <c r="B14" s="118" t="s">
        <v>234</v>
      </c>
      <c r="C14" s="111"/>
      <c r="D14" s="111"/>
      <c r="E14" s="111"/>
      <c r="F14" s="112"/>
      <c r="G14" s="64">
        <v>0</v>
      </c>
      <c r="H14" s="14" t="s">
        <v>3</v>
      </c>
      <c r="I14" s="1"/>
    </row>
    <row r="15" spans="1:9" x14ac:dyDescent="0.45">
      <c r="A15" s="1"/>
      <c r="B15" s="107" t="s">
        <v>46</v>
      </c>
      <c r="C15" s="108"/>
      <c r="D15" s="108"/>
      <c r="E15" s="108"/>
      <c r="F15" s="109"/>
      <c r="G15" s="24">
        <f>SUM(G11:G14)*'Fane 14. Nøgletal'!C29</f>
        <v>807567.31393191672</v>
      </c>
      <c r="H15" s="14" t="s">
        <v>3</v>
      </c>
      <c r="I15" s="1"/>
    </row>
    <row r="16" spans="1:9" x14ac:dyDescent="0.45">
      <c r="A16" s="1"/>
      <c r="B16" s="36"/>
      <c r="C16" s="37"/>
      <c r="D16" s="37"/>
      <c r="E16" s="37"/>
      <c r="F16" s="37"/>
      <c r="G16" s="37"/>
      <c r="H16" s="20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13" t="s">
        <v>54</v>
      </c>
      <c r="C18" s="114"/>
      <c r="D18" s="114"/>
      <c r="E18" s="114"/>
      <c r="F18" s="114"/>
      <c r="G18" s="114"/>
      <c r="H18" s="115"/>
      <c r="I18" s="1"/>
    </row>
    <row r="19" spans="1:9" x14ac:dyDescent="0.45">
      <c r="A19" s="1"/>
      <c r="B19" s="107" t="s">
        <v>47</v>
      </c>
      <c r="C19" s="108"/>
      <c r="D19" s="108"/>
      <c r="E19" s="108"/>
      <c r="F19" s="109"/>
      <c r="G19" s="24">
        <f>(G11+G12+G14-G15)*(1+'Fane 14. Nøgletal'!C10)</f>
        <v>40263287.354360536</v>
      </c>
      <c r="H19" s="14" t="s">
        <v>3</v>
      </c>
      <c r="I19" s="1"/>
    </row>
    <row r="20" spans="1:9" x14ac:dyDescent="0.45">
      <c r="A20" s="1"/>
      <c r="B20" s="118" t="s">
        <v>48</v>
      </c>
      <c r="C20" s="111"/>
      <c r="D20" s="111"/>
      <c r="E20" s="111"/>
      <c r="F20" s="112"/>
      <c r="G20" s="64">
        <v>0</v>
      </c>
      <c r="H20" s="14" t="s">
        <v>3</v>
      </c>
      <c r="I20" s="1"/>
    </row>
    <row r="21" spans="1:9" x14ac:dyDescent="0.45">
      <c r="A21" s="1"/>
      <c r="B21" s="107" t="s">
        <v>49</v>
      </c>
      <c r="C21" s="108"/>
      <c r="D21" s="108"/>
      <c r="E21" s="108"/>
      <c r="F21" s="109"/>
      <c r="G21" s="24">
        <f>(G19+G20)*'Fane 14. Nøgletal'!C29</f>
        <v>805265.74708721077</v>
      </c>
      <c r="H21" s="14" t="s">
        <v>3</v>
      </c>
      <c r="I21" s="1"/>
    </row>
    <row r="22" spans="1:9" x14ac:dyDescent="0.45">
      <c r="A22" s="1"/>
      <c r="B22" s="36"/>
      <c r="C22" s="37"/>
      <c r="D22" s="37"/>
      <c r="E22" s="37"/>
      <c r="F22" s="37"/>
      <c r="G22" s="37"/>
      <c r="H22" s="20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13" t="s">
        <v>55</v>
      </c>
      <c r="C24" s="114"/>
      <c r="D24" s="114"/>
      <c r="E24" s="114"/>
      <c r="F24" s="114"/>
      <c r="G24" s="114"/>
      <c r="H24" s="115"/>
      <c r="I24" s="1"/>
    </row>
    <row r="25" spans="1:9" x14ac:dyDescent="0.45">
      <c r="A25" s="1"/>
      <c r="B25" s="107" t="s">
        <v>50</v>
      </c>
      <c r="C25" s="108"/>
      <c r="D25" s="108"/>
      <c r="E25" s="108"/>
      <c r="F25" s="109"/>
      <c r="G25" s="24">
        <f>G19*(1-'Fane 14. Nøgletal'!C29)*(1+'Fane 14. Nøgletal'!C10)+G20*(1-'Fane 14. Nøgletal'!C29)*(1+'Fane 14. Nøgletal'!C11)</f>
        <v>40148536.98540061</v>
      </c>
      <c r="H25" s="14" t="s">
        <v>3</v>
      </c>
      <c r="I25" s="1"/>
    </row>
    <row r="26" spans="1:9" x14ac:dyDescent="0.45">
      <c r="A26" s="1"/>
      <c r="B26" s="110" t="s">
        <v>235</v>
      </c>
      <c r="C26" s="116"/>
      <c r="D26" s="116"/>
      <c r="E26" s="116"/>
      <c r="F26" s="117"/>
      <c r="G26" s="64">
        <f>G20*(1-'Fane 14. Nøgletal'!C29)*(1+'Fane 14. Nøgletal'!C11)</f>
        <v>0</v>
      </c>
      <c r="H26" s="14" t="s">
        <v>3</v>
      </c>
      <c r="I26" s="1"/>
    </row>
    <row r="27" spans="1:9" x14ac:dyDescent="0.45">
      <c r="A27" s="1"/>
      <c r="B27" s="118" t="s">
        <v>51</v>
      </c>
      <c r="C27" s="111"/>
      <c r="D27" s="111"/>
      <c r="E27" s="111"/>
      <c r="F27" s="112"/>
      <c r="G27" s="64">
        <v>0</v>
      </c>
      <c r="H27" s="14" t="s">
        <v>3</v>
      </c>
      <c r="I27" s="1"/>
    </row>
    <row r="28" spans="1:9" x14ac:dyDescent="0.45">
      <c r="A28" s="1"/>
      <c r="B28" s="107" t="s">
        <v>52</v>
      </c>
      <c r="C28" s="108"/>
      <c r="D28" s="108"/>
      <c r="E28" s="108"/>
      <c r="F28" s="109"/>
      <c r="G28" s="24">
        <f>SUM(G25,G27)*'Fane 14. Nøgletal'!C29</f>
        <v>802970.7397080122</v>
      </c>
      <c r="H28" s="14" t="s">
        <v>3</v>
      </c>
      <c r="I28" s="1"/>
    </row>
    <row r="29" spans="1:9" x14ac:dyDescent="0.45">
      <c r="A29" s="1"/>
      <c r="B29" s="36"/>
      <c r="C29" s="37"/>
      <c r="D29" s="37"/>
      <c r="E29" s="37"/>
      <c r="F29" s="37"/>
      <c r="G29" s="37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13" t="s">
        <v>56</v>
      </c>
      <c r="C31" s="114"/>
      <c r="D31" s="114"/>
      <c r="E31" s="114"/>
      <c r="F31" s="114"/>
      <c r="G31" s="114"/>
      <c r="H31" s="115"/>
      <c r="I31" s="1"/>
    </row>
    <row r="32" spans="1:9" x14ac:dyDescent="0.45">
      <c r="A32" s="1"/>
      <c r="B32" s="107" t="s">
        <v>57</v>
      </c>
      <c r="C32" s="108"/>
      <c r="D32" s="108"/>
      <c r="E32" s="108"/>
      <c r="F32" s="109"/>
      <c r="G32" s="24">
        <f>(G25-G26)*(1-'Fane 14. Nøgletal'!C29)*(1+'Fane 14. Nøgletal'!C10)+G26*(1-'Fane 14. Nøgletal'!C29)*(1+'Fane 14. Nøgletal'!C11)+G27*(1-'Fane 14. Nøgletal'!C29)*(1+'Fane 14. Nøgletal'!C12)</f>
        <v>40034113.654992223</v>
      </c>
      <c r="H32" s="14" t="s">
        <v>3</v>
      </c>
      <c r="I32" s="1"/>
    </row>
    <row r="33" spans="1:9" x14ac:dyDescent="0.45">
      <c r="A33" s="1"/>
      <c r="B33" s="110" t="s">
        <v>235</v>
      </c>
      <c r="C33" s="111"/>
      <c r="D33" s="111"/>
      <c r="E33" s="111"/>
      <c r="F33" s="112"/>
      <c r="G33" s="64">
        <f>G26*(1-'Fane 14. Nøgletal'!C29)*(1+'Fane 14. Nøgletal'!C11)</f>
        <v>0</v>
      </c>
      <c r="H33" s="14" t="s">
        <v>3</v>
      </c>
      <c r="I33" s="1"/>
    </row>
    <row r="34" spans="1:9" x14ac:dyDescent="0.45">
      <c r="A34" s="1"/>
      <c r="B34" s="110" t="s">
        <v>130</v>
      </c>
      <c r="C34" s="111"/>
      <c r="D34" s="111"/>
      <c r="E34" s="111"/>
      <c r="F34" s="112"/>
      <c r="G34" s="64">
        <f>G27*(1-'Fane 14. Nøgletal'!C29)*(1+'Fane 14. Nøgletal'!C12)</f>
        <v>0</v>
      </c>
      <c r="H34" s="14" t="s">
        <v>3</v>
      </c>
      <c r="I34" s="1"/>
    </row>
    <row r="35" spans="1:9" x14ac:dyDescent="0.45">
      <c r="A35" s="1"/>
      <c r="B35" s="107" t="s">
        <v>159</v>
      </c>
      <c r="C35" s="108"/>
      <c r="D35" s="108"/>
      <c r="E35" s="108"/>
      <c r="F35" s="109"/>
      <c r="G35" s="24">
        <v>3477687.6005423996</v>
      </c>
      <c r="H35" s="14" t="s">
        <v>3</v>
      </c>
      <c r="I35" s="1"/>
    </row>
    <row r="36" spans="1:9" x14ac:dyDescent="0.45">
      <c r="A36" s="1"/>
      <c r="B36" s="107" t="s">
        <v>58</v>
      </c>
      <c r="C36" s="108"/>
      <c r="D36" s="108"/>
      <c r="E36" s="108"/>
      <c r="F36" s="109"/>
      <c r="G36" s="24">
        <f>SUM(G32,G35)*'Fane 14. Nøgletal'!C29</f>
        <v>870236.02511069237</v>
      </c>
      <c r="H36" s="14" t="s">
        <v>3</v>
      </c>
      <c r="I36" s="1"/>
    </row>
    <row r="37" spans="1:9" x14ac:dyDescent="0.45">
      <c r="A37" s="1"/>
      <c r="B37" s="36"/>
      <c r="C37" s="37"/>
      <c r="D37" s="37"/>
      <c r="E37" s="37"/>
      <c r="F37" s="37"/>
      <c r="G37" s="37"/>
      <c r="H37" s="20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13" t="s">
        <v>191</v>
      </c>
      <c r="C39" s="114"/>
      <c r="D39" s="114"/>
      <c r="E39" s="114"/>
      <c r="F39" s="114"/>
      <c r="G39" s="114"/>
      <c r="H39" s="115"/>
      <c r="I39" s="1"/>
    </row>
    <row r="40" spans="1:9" x14ac:dyDescent="0.45">
      <c r="A40" s="1"/>
      <c r="B40" s="107" t="s">
        <v>245</v>
      </c>
      <c r="C40" s="108"/>
      <c r="D40" s="108"/>
      <c r="E40" s="108"/>
      <c r="F40" s="109"/>
      <c r="G40" s="24">
        <f>(SUM(G32,G35)-G36)*(1+'Fane 14. Nøgletal'!C14)</f>
        <v>42782282.395684332</v>
      </c>
      <c r="H40" s="14" t="s">
        <v>3</v>
      </c>
      <c r="I40" s="1"/>
    </row>
    <row r="41" spans="1:9" x14ac:dyDescent="0.45">
      <c r="A41" s="1"/>
      <c r="B41" s="107" t="s">
        <v>244</v>
      </c>
      <c r="C41" s="108"/>
      <c r="D41" s="108"/>
      <c r="E41" s="108"/>
      <c r="F41" s="109"/>
      <c r="G41" s="64">
        <f>(SUM('Fane 2.1. Økonomisk ramme 2022'!C10,'Fane 2.1. Økonomisk ramme 2022'!C12,'Fane 2.1. Økonomisk ramme 2022'!C14)*(1+'Fane 14. Nøgletal'!C14))</f>
        <v>0</v>
      </c>
      <c r="H41" s="14" t="s">
        <v>3</v>
      </c>
      <c r="I41" s="1"/>
    </row>
    <row r="42" spans="1:9" x14ac:dyDescent="0.45">
      <c r="A42" s="1"/>
      <c r="B42" s="107" t="s">
        <v>243</v>
      </c>
      <c r="C42" s="108"/>
      <c r="D42" s="108"/>
      <c r="E42" s="108"/>
      <c r="F42" s="109"/>
      <c r="G42" s="24">
        <f>(G40+G41)*'Fane 14. Nøgletal'!C29</f>
        <v>855645.6479136867</v>
      </c>
      <c r="H42" s="14" t="s">
        <v>3</v>
      </c>
      <c r="I42" s="1"/>
    </row>
    <row r="43" spans="1:9" x14ac:dyDescent="0.45">
      <c r="A43" s="1"/>
      <c r="B43" s="36"/>
      <c r="C43" s="37"/>
      <c r="D43" s="37"/>
      <c r="E43" s="37"/>
      <c r="F43" s="37"/>
      <c r="G43" s="37"/>
      <c r="H43" s="20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13" t="s">
        <v>223</v>
      </c>
      <c r="C45" s="114"/>
      <c r="D45" s="114"/>
      <c r="E45" s="114"/>
      <c r="F45" s="114"/>
      <c r="G45" s="114"/>
      <c r="H45" s="115"/>
      <c r="I45" s="1"/>
    </row>
    <row r="46" spans="1:9" x14ac:dyDescent="0.45">
      <c r="A46" s="1"/>
      <c r="B46" s="107" t="s">
        <v>256</v>
      </c>
      <c r="C46" s="108"/>
      <c r="D46" s="108"/>
      <c r="E46" s="108"/>
      <c r="F46" s="109"/>
      <c r="G46" s="24">
        <f>(G40+G41-G42)*(1+'Fane 14. Nøgletal'!C14)</f>
        <v>42064994.649038292</v>
      </c>
      <c r="H46" s="14" t="s">
        <v>3</v>
      </c>
      <c r="I46" s="1"/>
    </row>
    <row r="47" spans="1:9" x14ac:dyDescent="0.45">
      <c r="A47" s="1"/>
      <c r="B47" s="110" t="s">
        <v>258</v>
      </c>
      <c r="C47" s="111"/>
      <c r="D47" s="111"/>
      <c r="E47" s="111"/>
      <c r="F47" s="112"/>
      <c r="G47" s="64">
        <f>G41*(1+'Fane 14. Nøgletal'!C14)</f>
        <v>0</v>
      </c>
      <c r="H47" s="14" t="s">
        <v>3</v>
      </c>
      <c r="I47" s="1"/>
    </row>
    <row r="48" spans="1:9" x14ac:dyDescent="0.45">
      <c r="A48" s="1"/>
      <c r="B48" s="107" t="s">
        <v>81</v>
      </c>
      <c r="C48" s="108"/>
      <c r="D48" s="108"/>
      <c r="E48" s="108"/>
      <c r="F48" s="109"/>
      <c r="G48" s="64">
        <f>-'Fane 13. Bortfald'!C18*(1+'Fane 14. Nøgletal'!C14)</f>
        <v>0</v>
      </c>
      <c r="H48" s="14" t="s">
        <v>3</v>
      </c>
      <c r="I48" s="1"/>
    </row>
    <row r="49" spans="1:9" x14ac:dyDescent="0.45">
      <c r="A49" s="1"/>
      <c r="B49" s="107" t="s">
        <v>257</v>
      </c>
      <c r="C49" s="108"/>
      <c r="D49" s="108"/>
      <c r="E49" s="108"/>
      <c r="F49" s="109"/>
      <c r="G49" s="24">
        <f>(G46+G48)*'Fane 14. Nøgletal'!C29</f>
        <v>841299.8929807659</v>
      </c>
      <c r="H49" s="14" t="s">
        <v>3</v>
      </c>
      <c r="I49" s="1"/>
    </row>
    <row r="50" spans="1:9" x14ac:dyDescent="0.45">
      <c r="A50" s="1"/>
      <c r="B50" s="36"/>
      <c r="C50" s="37"/>
      <c r="D50" s="37"/>
      <c r="E50" s="37"/>
      <c r="F50" s="37"/>
      <c r="G50" s="37"/>
      <c r="H50" s="20"/>
      <c r="I50" s="1"/>
    </row>
    <row r="51" spans="1:9" x14ac:dyDescent="0.4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45">
      <c r="A52" s="1"/>
      <c r="B52" s="35"/>
      <c r="C52" s="35"/>
      <c r="D52" s="35"/>
      <c r="E52" s="35"/>
      <c r="F52" s="35"/>
      <c r="G52" s="35"/>
      <c r="H52" s="35"/>
      <c r="I52" s="1"/>
    </row>
    <row r="53" spans="1:9" x14ac:dyDescent="0.45">
      <c r="A53" s="1"/>
      <c r="B53" s="113" t="s">
        <v>160</v>
      </c>
      <c r="C53" s="114"/>
      <c r="D53" s="114"/>
      <c r="E53" s="114"/>
      <c r="F53" s="114"/>
      <c r="G53" s="114"/>
      <c r="H53" s="115"/>
      <c r="I53" s="1"/>
    </row>
    <row r="54" spans="1:9" x14ac:dyDescent="0.45">
      <c r="A54" s="1"/>
      <c r="B54" s="107" t="s">
        <v>161</v>
      </c>
      <c r="C54" s="108"/>
      <c r="D54" s="108"/>
      <c r="E54" s="108"/>
      <c r="F54" s="109"/>
      <c r="G54" s="24">
        <f>(G46+G48-G49)*(1+'Fane 14. Nøgletal'!C14)</f>
        <v>41359732.948752515</v>
      </c>
      <c r="H54" s="14" t="s">
        <v>3</v>
      </c>
      <c r="I54" s="1"/>
    </row>
    <row r="55" spans="1:9" x14ac:dyDescent="0.45">
      <c r="A55" s="1"/>
      <c r="B55" s="107" t="s">
        <v>162</v>
      </c>
      <c r="C55" s="108"/>
      <c r="D55" s="108"/>
      <c r="E55" s="108"/>
      <c r="F55" s="109"/>
      <c r="G55" s="64">
        <f>-'Fane 13. Bortfald'!C24*(1+'Fane 14. Nøgletal'!C14)</f>
        <v>0</v>
      </c>
      <c r="H55" s="14" t="s">
        <v>3</v>
      </c>
      <c r="I55" s="1"/>
    </row>
    <row r="56" spans="1:9" x14ac:dyDescent="0.45">
      <c r="A56" s="1"/>
      <c r="B56" s="107" t="s">
        <v>163</v>
      </c>
      <c r="C56" s="108"/>
      <c r="D56" s="108"/>
      <c r="E56" s="108"/>
      <c r="F56" s="109"/>
      <c r="G56" s="24">
        <f>(G54+G55)*'Fane 14. Nøgletal'!C29</f>
        <v>827194.65897505032</v>
      </c>
      <c r="H56" s="14" t="s">
        <v>3</v>
      </c>
      <c r="I56" s="1"/>
    </row>
    <row r="57" spans="1:9" x14ac:dyDescent="0.45">
      <c r="A57" s="1"/>
      <c r="B57" s="36"/>
      <c r="C57" s="37"/>
      <c r="D57" s="37"/>
      <c r="E57" s="37"/>
      <c r="F57" s="37"/>
      <c r="G57" s="37"/>
      <c r="H57" s="20"/>
      <c r="I57" s="1"/>
    </row>
    <row r="58" spans="1:9" x14ac:dyDescent="0.4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45">
      <c r="A59" s="1"/>
      <c r="B59" s="52" t="s">
        <v>224</v>
      </c>
      <c r="C59" s="53"/>
      <c r="D59" s="53"/>
      <c r="E59" s="53"/>
      <c r="F59" s="53"/>
      <c r="G59" s="53"/>
      <c r="H59" s="54"/>
      <c r="I59" s="1"/>
    </row>
    <row r="60" spans="1:9" x14ac:dyDescent="0.45">
      <c r="A60" s="1"/>
      <c r="B60" s="55" t="s">
        <v>236</v>
      </c>
      <c r="C60" s="56"/>
      <c r="D60" s="56"/>
      <c r="E60" s="56"/>
      <c r="F60" s="57"/>
      <c r="G60" s="24">
        <f>(G54+G55-G56)*(1+'Fane 14. Nøgletal'!C14)</f>
        <v>40666295.666133732</v>
      </c>
      <c r="H60" s="14" t="s">
        <v>3</v>
      </c>
      <c r="I60" s="1"/>
    </row>
    <row r="61" spans="1:9" x14ac:dyDescent="0.45">
      <c r="A61" s="1"/>
      <c r="B61" s="55" t="s">
        <v>237</v>
      </c>
      <c r="C61" s="56"/>
      <c r="D61" s="56"/>
      <c r="E61" s="56"/>
      <c r="F61" s="57"/>
      <c r="G61" s="64">
        <f>-'Fane 13. Bortfald'!C30*(1+'Fane 14. Nøgletal'!C14)</f>
        <v>0</v>
      </c>
      <c r="H61" s="14" t="s">
        <v>3</v>
      </c>
      <c r="I61" s="1"/>
    </row>
    <row r="62" spans="1:9" x14ac:dyDescent="0.45">
      <c r="A62" s="1"/>
      <c r="B62" s="55" t="s">
        <v>238</v>
      </c>
      <c r="C62" s="56"/>
      <c r="D62" s="56"/>
      <c r="E62" s="56"/>
      <c r="F62" s="57"/>
      <c r="G62" s="24">
        <f>(G60+G61)*'Fane 14. Nøgletal'!C29</f>
        <v>813325.91332267469</v>
      </c>
      <c r="H62" s="14" t="s">
        <v>3</v>
      </c>
      <c r="I62" s="1"/>
    </row>
    <row r="63" spans="1:9" x14ac:dyDescent="0.45">
      <c r="A63" s="1"/>
      <c r="B63" s="36"/>
      <c r="C63" s="37"/>
      <c r="D63" s="37"/>
      <c r="E63" s="37"/>
      <c r="F63" s="37"/>
      <c r="G63" s="37"/>
      <c r="H63" s="20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7zFc1zSAnmzojLi0JpkGGQp53x46SbR3ge4DPrGJyzyES0QqUQh3r37BjeYsHZhL4el5/2ns0Dxr/M4xS+eDTg==" saltValue="SloiZE1+bpDtruWSHAy1LA==" spinCount="100000" sheet="1" objects="1" scenarios="1"/>
  <mergeCells count="39"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  <mergeCell ref="B1:H3"/>
    <mergeCell ref="B4:H4"/>
    <mergeCell ref="B5:F5"/>
    <mergeCell ref="B7:F7"/>
    <mergeCell ref="B11:F11"/>
    <mergeCell ref="B10:H10"/>
    <mergeCell ref="B6:F6"/>
    <mergeCell ref="B56:F56"/>
    <mergeCell ref="B12:F12"/>
    <mergeCell ref="B28:F28"/>
    <mergeCell ref="B36:F36"/>
    <mergeCell ref="B45:H45"/>
    <mergeCell ref="B46:F46"/>
    <mergeCell ref="B49:F49"/>
    <mergeCell ref="B48:F48"/>
    <mergeCell ref="B39:H39"/>
    <mergeCell ref="B42:F42"/>
    <mergeCell ref="B40:F40"/>
    <mergeCell ref="B13:F13"/>
    <mergeCell ref="B35:F35"/>
    <mergeCell ref="B26:F26"/>
    <mergeCell ref="B33:F33"/>
    <mergeCell ref="B34:F34"/>
    <mergeCell ref="B41:F41"/>
    <mergeCell ref="B47:F47"/>
    <mergeCell ref="B53:H53"/>
    <mergeCell ref="B54:F54"/>
    <mergeCell ref="B55:F5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2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398437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45">
      <c r="A2" s="1"/>
      <c r="B2" s="119" t="s">
        <v>120</v>
      </c>
      <c r="C2" s="119"/>
      <c r="D2" s="119"/>
      <c r="E2" s="119"/>
      <c r="F2" s="119"/>
      <c r="G2" s="119"/>
      <c r="H2" s="119"/>
      <c r="I2" s="1"/>
    </row>
    <row r="3" spans="1:9" ht="28.5" customHeight="1" x14ac:dyDescent="0.45">
      <c r="A3" s="1"/>
      <c r="B3" s="119"/>
      <c r="C3" s="119"/>
      <c r="D3" s="119"/>
      <c r="E3" s="119"/>
      <c r="F3" s="119"/>
      <c r="G3" s="119"/>
      <c r="H3" s="119"/>
      <c r="I3" s="1"/>
    </row>
    <row r="4" spans="1:9" ht="18" x14ac:dyDescent="0.55000000000000004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45">
      <c r="A5" s="1"/>
      <c r="B5" s="113" t="s">
        <v>246</v>
      </c>
      <c r="C5" s="114"/>
      <c r="D5" s="114"/>
      <c r="E5" s="114"/>
      <c r="F5" s="114"/>
      <c r="G5" s="114"/>
      <c r="H5" s="115"/>
      <c r="I5" s="1"/>
    </row>
    <row r="6" spans="1:9" x14ac:dyDescent="0.45">
      <c r="A6" s="1"/>
      <c r="B6" s="107" t="s">
        <v>247</v>
      </c>
      <c r="C6" s="108"/>
      <c r="D6" s="108"/>
      <c r="E6" s="108"/>
      <c r="F6" s="109"/>
      <c r="G6" s="24">
        <v>99934720.347025573</v>
      </c>
      <c r="H6" s="14" t="s">
        <v>3</v>
      </c>
      <c r="I6" s="1"/>
    </row>
    <row r="7" spans="1:9" x14ac:dyDescent="0.45">
      <c r="A7" s="1"/>
      <c r="B7" s="107" t="s">
        <v>239</v>
      </c>
      <c r="C7" s="108"/>
      <c r="D7" s="108"/>
      <c r="E7" s="108"/>
      <c r="F7" s="109"/>
      <c r="G7" s="24">
        <f>G6*'Fane 14. Nøgletal'!C19</f>
        <v>909405.95515793271</v>
      </c>
      <c r="H7" s="14" t="s">
        <v>3</v>
      </c>
      <c r="I7" s="1"/>
    </row>
    <row r="8" spans="1:9" x14ac:dyDescent="0.45">
      <c r="A8" s="1"/>
      <c r="B8" s="36"/>
      <c r="C8" s="37"/>
      <c r="D8" s="37"/>
      <c r="E8" s="37"/>
      <c r="F8" s="37"/>
      <c r="G8" s="37"/>
      <c r="H8" s="20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113" t="s">
        <v>59</v>
      </c>
      <c r="C10" s="114"/>
      <c r="D10" s="114"/>
      <c r="E10" s="114"/>
      <c r="F10" s="114"/>
      <c r="G10" s="114"/>
      <c r="H10" s="115"/>
      <c r="I10" s="1"/>
    </row>
    <row r="11" spans="1:9" x14ac:dyDescent="0.45">
      <c r="A11" s="1"/>
      <c r="B11" s="107" t="s">
        <v>248</v>
      </c>
      <c r="C11" s="108"/>
      <c r="D11" s="108"/>
      <c r="E11" s="108"/>
      <c r="F11" s="109"/>
      <c r="G11" s="24">
        <f>(G6-G7)*(1+'Fane 14. Nøgletal'!C10)</f>
        <v>100758257.39372534</v>
      </c>
      <c r="H11" s="14" t="s">
        <v>3</v>
      </c>
      <c r="I11" s="1"/>
    </row>
    <row r="12" spans="1:9" x14ac:dyDescent="0.45">
      <c r="A12" s="1"/>
      <c r="B12" s="107" t="s">
        <v>134</v>
      </c>
      <c r="C12" s="108"/>
      <c r="D12" s="108"/>
      <c r="E12" s="108"/>
      <c r="F12" s="109"/>
      <c r="G12" s="24">
        <v>-261085.50452269</v>
      </c>
      <c r="H12" s="14" t="s">
        <v>3</v>
      </c>
      <c r="I12" s="1"/>
    </row>
    <row r="13" spans="1:9" x14ac:dyDescent="0.45">
      <c r="A13" s="1"/>
      <c r="B13" s="118" t="s">
        <v>249</v>
      </c>
      <c r="C13" s="111"/>
      <c r="D13" s="111"/>
      <c r="E13" s="111"/>
      <c r="F13" s="112"/>
      <c r="G13" s="64">
        <v>0</v>
      </c>
      <c r="H13" s="14" t="s">
        <v>3</v>
      </c>
      <c r="I13" s="1"/>
    </row>
    <row r="14" spans="1:9" x14ac:dyDescent="0.45">
      <c r="A14" s="1"/>
      <c r="B14" s="107" t="s">
        <v>60</v>
      </c>
      <c r="C14" s="108"/>
      <c r="D14" s="108"/>
      <c r="E14" s="108"/>
      <c r="F14" s="109"/>
      <c r="G14" s="24">
        <f>SUM(G11:G13)*'Fane 14. Nøgletal'!C20</f>
        <v>1778799.9424388867</v>
      </c>
      <c r="H14" s="14" t="s">
        <v>3</v>
      </c>
      <c r="I14" s="1"/>
    </row>
    <row r="15" spans="1:9" x14ac:dyDescent="0.45">
      <c r="A15" s="1"/>
      <c r="B15" s="36"/>
      <c r="C15" s="37"/>
      <c r="D15" s="37"/>
      <c r="E15" s="37"/>
      <c r="F15" s="37"/>
      <c r="G15" s="37"/>
      <c r="H15" s="20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13" t="s">
        <v>61</v>
      </c>
      <c r="C17" s="114"/>
      <c r="D17" s="114"/>
      <c r="E17" s="114"/>
      <c r="F17" s="114"/>
      <c r="G17" s="114"/>
      <c r="H17" s="115"/>
      <c r="I17" s="1"/>
    </row>
    <row r="18" spans="1:9" x14ac:dyDescent="0.45">
      <c r="A18" s="1"/>
      <c r="B18" s="107" t="s">
        <v>62</v>
      </c>
      <c r="C18" s="108"/>
      <c r="D18" s="108"/>
      <c r="E18" s="108"/>
      <c r="F18" s="109"/>
      <c r="G18" s="24">
        <f>(G11+G12+G13-G14)*(1+'Fane 14. Nøgletal'!C10)</f>
        <v>100445943.45583212</v>
      </c>
      <c r="H18" s="14" t="s">
        <v>3</v>
      </c>
      <c r="I18" s="1"/>
    </row>
    <row r="19" spans="1:9" x14ac:dyDescent="0.45">
      <c r="A19" s="1"/>
      <c r="B19" s="118" t="s">
        <v>63</v>
      </c>
      <c r="C19" s="111"/>
      <c r="D19" s="111"/>
      <c r="E19" s="111"/>
      <c r="F19" s="112"/>
      <c r="G19" s="24">
        <v>1169522.9045985297</v>
      </c>
      <c r="H19" s="14" t="s">
        <v>3</v>
      </c>
      <c r="I19" s="1"/>
    </row>
    <row r="20" spans="1:9" x14ac:dyDescent="0.45">
      <c r="A20" s="1"/>
      <c r="B20" s="107" t="s">
        <v>64</v>
      </c>
      <c r="C20" s="108"/>
      <c r="D20" s="108"/>
      <c r="E20" s="108"/>
      <c r="F20" s="109"/>
      <c r="G20" s="24">
        <f>G18*'Fane 14. Nøgletal'!C20+G19*'Fane 14. Nøgletal'!C21</f>
        <v>1788068.0484382357</v>
      </c>
      <c r="H20" s="14" t="s">
        <v>3</v>
      </c>
      <c r="I20" s="1"/>
    </row>
    <row r="21" spans="1:9" x14ac:dyDescent="0.45">
      <c r="A21" s="1"/>
      <c r="B21" s="36"/>
      <c r="C21" s="37"/>
      <c r="D21" s="37"/>
      <c r="E21" s="37"/>
      <c r="F21" s="37"/>
      <c r="G21" s="37"/>
      <c r="H21" s="20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13" t="s">
        <v>222</v>
      </c>
      <c r="C23" s="114"/>
      <c r="D23" s="114"/>
      <c r="E23" s="114"/>
      <c r="F23" s="114"/>
      <c r="G23" s="114"/>
      <c r="H23" s="115"/>
      <c r="I23" s="1"/>
    </row>
    <row r="24" spans="1:9" x14ac:dyDescent="0.45">
      <c r="A24" s="1"/>
      <c r="B24" s="107" t="s">
        <v>65</v>
      </c>
      <c r="C24" s="108"/>
      <c r="D24" s="108"/>
      <c r="E24" s="108"/>
      <c r="F24" s="109"/>
      <c r="G24" s="24">
        <f>G18*(1-'Fane 14. Nøgletal'!C20)*(1+'Fane 14. Nøgletal'!C10)+G19*(1-'Fane 14. Nøgletal'!C21)*(1+'Fane 14. Nøgletal'!C11)</f>
        <v>101573682.17361909</v>
      </c>
      <c r="H24" s="14" t="s">
        <v>3</v>
      </c>
      <c r="I24" s="1"/>
    </row>
    <row r="25" spans="1:9" x14ac:dyDescent="0.45">
      <c r="A25" s="1"/>
      <c r="B25" s="110" t="s">
        <v>250</v>
      </c>
      <c r="C25" s="111"/>
      <c r="D25" s="111"/>
      <c r="E25" s="111"/>
      <c r="F25" s="112"/>
      <c r="G25" s="24">
        <f>G19*(1-'Fane 14. Nøgletal'!C21)*(1+'Fane 14. Nøgletal'!C11)</f>
        <v>1178941.0374635742</v>
      </c>
      <c r="H25" s="14" t="s">
        <v>3</v>
      </c>
      <c r="I25" s="1"/>
    </row>
    <row r="26" spans="1:9" x14ac:dyDescent="0.45">
      <c r="A26" s="1"/>
      <c r="B26" s="118" t="s">
        <v>66</v>
      </c>
      <c r="C26" s="111"/>
      <c r="D26" s="111"/>
      <c r="E26" s="111"/>
      <c r="F26" s="112"/>
      <c r="G26" s="24">
        <v>1078835.5987398003</v>
      </c>
      <c r="H26" s="14" t="s">
        <v>3</v>
      </c>
      <c r="I26" s="1"/>
    </row>
    <row r="27" spans="1:9" x14ac:dyDescent="0.45">
      <c r="A27" s="1"/>
      <c r="B27" s="107" t="s">
        <v>67</v>
      </c>
      <c r="C27" s="108"/>
      <c r="D27" s="108"/>
      <c r="E27" s="108"/>
      <c r="F27" s="109"/>
      <c r="G27" s="24">
        <f>(G24-G25)*'Fane 14. Nøgletal'!C21+G25*'Fane 14. Nøgletal'!C22+G26*'Fane 14. Nøgletal'!C23</f>
        <v>936584.15231386293</v>
      </c>
      <c r="H27" s="14" t="s">
        <v>3</v>
      </c>
      <c r="I27" s="1"/>
    </row>
    <row r="28" spans="1:9" x14ac:dyDescent="0.45">
      <c r="A28" s="1"/>
      <c r="B28" s="36"/>
      <c r="C28" s="37"/>
      <c r="D28" s="37"/>
      <c r="E28" s="37"/>
      <c r="F28" s="37"/>
      <c r="G28" s="37"/>
      <c r="H28" s="20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13" t="s">
        <v>68</v>
      </c>
      <c r="C30" s="114"/>
      <c r="D30" s="114"/>
      <c r="E30" s="114"/>
      <c r="F30" s="114"/>
      <c r="G30" s="114"/>
      <c r="H30" s="115"/>
      <c r="I30" s="1"/>
    </row>
    <row r="31" spans="1:9" x14ac:dyDescent="0.45">
      <c r="A31" s="1"/>
      <c r="B31" s="107" t="s">
        <v>69</v>
      </c>
      <c r="C31" s="108"/>
      <c r="D31" s="108"/>
      <c r="E31" s="108"/>
      <c r="F31" s="109"/>
      <c r="G31" s="24">
        <f>(G24-G25)*(1-'Fane 14. Nøgletal'!C20)*(1+'Fane 14. Nøgletal'!C10)+G25*(1-'Fane 14. Nøgletal'!C21)*(1+'Fane 14. Nøgletal'!C11)+G26*(1-'Fane 14. Nøgletal'!C22)*(1+'Fane 14. Nøgletal'!C12)</f>
        <v>102600846.07322139</v>
      </c>
      <c r="H31" s="14" t="s">
        <v>3</v>
      </c>
      <c r="I31" s="1"/>
    </row>
    <row r="32" spans="1:9" x14ac:dyDescent="0.45">
      <c r="A32" s="1"/>
      <c r="B32" s="110" t="s">
        <v>251</v>
      </c>
      <c r="C32" s="111"/>
      <c r="D32" s="111"/>
      <c r="E32" s="111"/>
      <c r="F32" s="112"/>
      <c r="G32" s="24">
        <f>G25*(1-'Fane 14. Nøgletal'!C21)*(1+'Fane 14. Nøgletal'!C11)</f>
        <v>1188435.0142700372</v>
      </c>
      <c r="H32" s="14" t="s">
        <v>3</v>
      </c>
      <c r="I32" s="1"/>
    </row>
    <row r="33" spans="1:9" x14ac:dyDescent="0.45">
      <c r="A33" s="1"/>
      <c r="B33" s="110" t="s">
        <v>129</v>
      </c>
      <c r="C33" s="111"/>
      <c r="D33" s="111"/>
      <c r="E33" s="111"/>
      <c r="F33" s="112"/>
      <c r="G33" s="24">
        <f>G26*(1-'Fane 14. Nøgletal'!C22)*(1+'Fane 14. Nøgletal'!C12)</f>
        <v>1068846.1420899811</v>
      </c>
      <c r="H33" s="14" t="s">
        <v>3</v>
      </c>
      <c r="I33" s="1"/>
    </row>
    <row r="34" spans="1:9" x14ac:dyDescent="0.45">
      <c r="A34" s="1"/>
      <c r="B34" s="107" t="s">
        <v>164</v>
      </c>
      <c r="C34" s="108"/>
      <c r="D34" s="108"/>
      <c r="E34" s="108"/>
      <c r="F34" s="109"/>
      <c r="G34" s="24">
        <v>1931588.0753450398</v>
      </c>
      <c r="H34" s="14" t="s">
        <v>3</v>
      </c>
      <c r="I34" s="1"/>
    </row>
    <row r="35" spans="1:9" x14ac:dyDescent="0.45">
      <c r="A35" s="1"/>
      <c r="B35" s="107" t="s">
        <v>70</v>
      </c>
      <c r="C35" s="108"/>
      <c r="D35" s="108"/>
      <c r="E35" s="108"/>
      <c r="F35" s="109"/>
      <c r="G35" s="24">
        <f>(G31-SUM(G32:G33))*'Fane 14. Nøgletal'!C20+G32*'Fane 14. Nøgletal'!C21+G33*'Fane 14. Nøgletal'!C22+G34*'Fane 14. Nøgletal'!C23</f>
        <v>1869894.3861599399</v>
      </c>
      <c r="H35" s="14" t="s">
        <v>3</v>
      </c>
      <c r="I35" s="1"/>
    </row>
    <row r="36" spans="1:9" x14ac:dyDescent="0.45">
      <c r="A36" s="1"/>
      <c r="B36" s="36"/>
      <c r="C36" s="37"/>
      <c r="D36" s="37"/>
      <c r="E36" s="37"/>
      <c r="F36" s="37"/>
      <c r="G36" s="37"/>
      <c r="H36" s="20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13" t="s">
        <v>192</v>
      </c>
      <c r="C38" s="114"/>
      <c r="D38" s="114"/>
      <c r="E38" s="114"/>
      <c r="F38" s="114"/>
      <c r="G38" s="114"/>
      <c r="H38" s="115"/>
      <c r="I38" s="1"/>
    </row>
    <row r="39" spans="1:9" x14ac:dyDescent="0.45">
      <c r="A39" s="1"/>
      <c r="B39" s="107" t="s">
        <v>252</v>
      </c>
      <c r="C39" s="108"/>
      <c r="D39" s="108"/>
      <c r="E39" s="108"/>
      <c r="F39" s="109"/>
      <c r="G39" s="24">
        <f>(SUM(G31,G34)-G35)*(1+'Fane 14. Nøgletal'!C14)</f>
        <v>103001326.14362243</v>
      </c>
      <c r="H39" s="14" t="s">
        <v>3</v>
      </c>
      <c r="I39" s="1"/>
    </row>
    <row r="40" spans="1:9" x14ac:dyDescent="0.45">
      <c r="A40" s="1"/>
      <c r="B40" s="107" t="s">
        <v>193</v>
      </c>
      <c r="C40" s="108"/>
      <c r="D40" s="108"/>
      <c r="E40" s="108"/>
      <c r="F40" s="109"/>
      <c r="G40" s="24">
        <f>SUM('Fane 2.1. Økonomisk ramme 2022'!C11,'Fane 2.1. Økonomisk ramme 2022'!C13,'Fane 2.1. Økonomisk ramme 2022'!C15)*(1+'Fane 14. Nøgletal'!C14)</f>
        <v>107908.68740800001</v>
      </c>
      <c r="H40" s="14" t="s">
        <v>3</v>
      </c>
      <c r="I40" s="1"/>
    </row>
    <row r="41" spans="1:9" x14ac:dyDescent="0.45">
      <c r="A41" s="1"/>
      <c r="B41" s="107" t="s">
        <v>194</v>
      </c>
      <c r="C41" s="108"/>
      <c r="D41" s="108"/>
      <c r="E41" s="108"/>
      <c r="F41" s="109"/>
      <c r="G41" s="24">
        <f>(G39+G40)*'Fane 14. Nøgletal'!C24</f>
        <v>1526016.6754992504</v>
      </c>
      <c r="H41" s="14" t="s">
        <v>3</v>
      </c>
      <c r="I41" s="1"/>
    </row>
    <row r="42" spans="1:9" x14ac:dyDescent="0.45">
      <c r="A42" s="1"/>
      <c r="B42" s="36"/>
      <c r="C42" s="37"/>
      <c r="D42" s="37"/>
      <c r="E42" s="37"/>
      <c r="F42" s="37"/>
      <c r="G42" s="37"/>
      <c r="H42" s="20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13" t="s">
        <v>253</v>
      </c>
      <c r="C44" s="114"/>
      <c r="D44" s="114"/>
      <c r="E44" s="114"/>
      <c r="F44" s="114"/>
      <c r="G44" s="114"/>
      <c r="H44" s="115"/>
      <c r="I44" s="1"/>
    </row>
    <row r="45" spans="1:9" x14ac:dyDescent="0.45">
      <c r="A45" s="1"/>
      <c r="B45" s="107" t="s">
        <v>71</v>
      </c>
      <c r="C45" s="108"/>
      <c r="D45" s="108"/>
      <c r="E45" s="108"/>
      <c r="F45" s="109"/>
      <c r="G45" s="24">
        <f>(G39+G40-G41)*(1+'Fane 14. Nøgletal'!C14)</f>
        <v>101918442.77544445</v>
      </c>
      <c r="H45" s="14" t="s">
        <v>3</v>
      </c>
      <c r="I45" s="1"/>
    </row>
    <row r="46" spans="1:9" x14ac:dyDescent="0.45">
      <c r="A46" s="1"/>
      <c r="B46" s="110" t="s">
        <v>260</v>
      </c>
      <c r="C46" s="111"/>
      <c r="D46" s="111"/>
      <c r="E46" s="111"/>
      <c r="F46" s="112"/>
      <c r="G46" s="24">
        <f>G40*(1+'Fane 14. Nøgletal'!C14)</f>
        <v>108264.78607644643</v>
      </c>
      <c r="H46" s="14" t="s">
        <v>3</v>
      </c>
      <c r="I46" s="1"/>
    </row>
    <row r="47" spans="1:9" x14ac:dyDescent="0.45">
      <c r="A47" s="1"/>
      <c r="B47" s="107" t="s">
        <v>85</v>
      </c>
      <c r="C47" s="108"/>
      <c r="D47" s="108"/>
      <c r="E47" s="108"/>
      <c r="F47" s="109"/>
      <c r="G47" s="64">
        <f>-'Fane 13. Bortfald'!E18*(1+'Fane 14. Nøgletal'!C14)</f>
        <v>0</v>
      </c>
      <c r="H47" s="14" t="s">
        <v>3</v>
      </c>
      <c r="I47" s="1"/>
    </row>
    <row r="48" spans="1:9" x14ac:dyDescent="0.45">
      <c r="A48" s="1"/>
      <c r="B48" s="107" t="s">
        <v>259</v>
      </c>
      <c r="C48" s="108"/>
      <c r="D48" s="108"/>
      <c r="E48" s="108"/>
      <c r="F48" s="109"/>
      <c r="G48" s="24">
        <f>(G45+G47)*'Fane 14. Nøgletal'!C24</f>
        <v>1508392.953076578</v>
      </c>
      <c r="H48" s="14" t="s">
        <v>3</v>
      </c>
      <c r="I48" s="1"/>
    </row>
    <row r="49" spans="1:9" x14ac:dyDescent="0.45">
      <c r="A49" s="1"/>
      <c r="B49" s="36"/>
      <c r="C49" s="37"/>
      <c r="D49" s="37"/>
      <c r="E49" s="37"/>
      <c r="F49" s="37"/>
      <c r="G49" s="37"/>
      <c r="H49" s="20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13" t="s">
        <v>165</v>
      </c>
      <c r="C51" s="114"/>
      <c r="D51" s="114"/>
      <c r="E51" s="114"/>
      <c r="F51" s="114"/>
      <c r="G51" s="114"/>
      <c r="H51" s="115"/>
      <c r="I51" s="1"/>
    </row>
    <row r="52" spans="1:9" x14ac:dyDescent="0.45">
      <c r="A52" s="1"/>
      <c r="B52" s="107" t="s">
        <v>166</v>
      </c>
      <c r="C52" s="108"/>
      <c r="D52" s="108"/>
      <c r="E52" s="108"/>
      <c r="F52" s="109"/>
      <c r="G52" s="24">
        <f>(G45+G47-G48)*(1+'Fane 14. Nøgletal'!C14)</f>
        <v>100741402.9867817</v>
      </c>
      <c r="H52" s="14" t="s">
        <v>3</v>
      </c>
      <c r="I52" s="1"/>
    </row>
    <row r="53" spans="1:9" x14ac:dyDescent="0.45">
      <c r="A53" s="1"/>
      <c r="B53" s="107" t="s">
        <v>167</v>
      </c>
      <c r="C53" s="108"/>
      <c r="D53" s="108"/>
      <c r="E53" s="108"/>
      <c r="F53" s="109"/>
      <c r="G53" s="64">
        <f>-'Fane 13. Bortfald'!E24*(1+'Fane 14. Nøgletal'!C14)</f>
        <v>0</v>
      </c>
      <c r="H53" s="14" t="s">
        <v>3</v>
      </c>
      <c r="I53" s="1"/>
    </row>
    <row r="54" spans="1:9" x14ac:dyDescent="0.45">
      <c r="A54" s="1"/>
      <c r="B54" s="107" t="s">
        <v>168</v>
      </c>
      <c r="C54" s="108"/>
      <c r="D54" s="108"/>
      <c r="E54" s="108"/>
      <c r="F54" s="109"/>
      <c r="G54" s="24">
        <f>(G52+G53)*'Fane 14. Nøgletal'!C24</f>
        <v>1490972.7642043692</v>
      </c>
      <c r="H54" s="14" t="s">
        <v>3</v>
      </c>
      <c r="I54" s="1"/>
    </row>
    <row r="55" spans="1:9" x14ac:dyDescent="0.45">
      <c r="A55" s="1"/>
      <c r="B55" s="36"/>
      <c r="C55" s="37"/>
      <c r="D55" s="37"/>
      <c r="E55" s="37"/>
      <c r="F55" s="37"/>
      <c r="G55" s="37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5">
      <c r="A57" s="1"/>
      <c r="B57" s="113" t="s">
        <v>225</v>
      </c>
      <c r="C57" s="114"/>
      <c r="D57" s="114"/>
      <c r="E57" s="114"/>
      <c r="F57" s="114"/>
      <c r="G57" s="114"/>
      <c r="H57" s="115"/>
      <c r="I57" s="1"/>
    </row>
    <row r="58" spans="1:9" x14ac:dyDescent="0.45">
      <c r="A58" s="1"/>
      <c r="B58" s="107" t="s">
        <v>166</v>
      </c>
      <c r="C58" s="108"/>
      <c r="D58" s="108"/>
      <c r="E58" s="108"/>
      <c r="F58" s="109"/>
      <c r="G58" s="24">
        <f>(G52+G53-G54)*(1+'Fane 14. Nøgletal'!C14)</f>
        <v>99577956.642311841</v>
      </c>
      <c r="H58" s="14" t="s">
        <v>3</v>
      </c>
      <c r="I58" s="1"/>
    </row>
    <row r="59" spans="1:9" x14ac:dyDescent="0.45">
      <c r="A59" s="1"/>
      <c r="B59" s="107" t="s">
        <v>254</v>
      </c>
      <c r="C59" s="108"/>
      <c r="D59" s="108"/>
      <c r="E59" s="108"/>
      <c r="F59" s="109"/>
      <c r="G59" s="64">
        <f>-'Fane 13. Bortfald'!E30*(1+'Fane 14. Nøgletal'!C21)</f>
        <v>0</v>
      </c>
      <c r="H59" s="14" t="s">
        <v>3</v>
      </c>
      <c r="I59" s="1"/>
    </row>
    <row r="60" spans="1:9" x14ac:dyDescent="0.45">
      <c r="A60" s="1"/>
      <c r="B60" s="107" t="s">
        <v>255</v>
      </c>
      <c r="C60" s="108"/>
      <c r="D60" s="108"/>
      <c r="E60" s="108"/>
      <c r="F60" s="109"/>
      <c r="G60" s="24">
        <f>(G58+G59)*'Fane 14. Nøgletal'!C24</f>
        <v>1473753.7583062153</v>
      </c>
      <c r="H60" s="14" t="s">
        <v>3</v>
      </c>
      <c r="I60" s="1"/>
    </row>
    <row r="61" spans="1:9" x14ac:dyDescent="0.45">
      <c r="A61" s="1"/>
      <c r="B61" s="36"/>
      <c r="C61" s="37"/>
      <c r="D61" s="37"/>
      <c r="E61" s="37"/>
      <c r="F61" s="37"/>
      <c r="G61" s="37"/>
      <c r="H61" s="20"/>
      <c r="I61" s="1"/>
    </row>
    <row r="62" spans="1:9" x14ac:dyDescent="0.4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rhUmC6YO5+kEJSsaR6ZmYkk94oIiy++VGzi7TGjXwxrCjZJDn2tHZd7/nUOOJ95njAttwhFZtAP6YzFfIQgw8Q==" saltValue="zL4XvlmxxvamjFMNYKK6eA==" spinCount="100000" sheet="1" objects="1" scenarios="1"/>
  <mergeCells count="41">
    <mergeCell ref="B2:H3"/>
    <mergeCell ref="B20:F20"/>
    <mergeCell ref="B5:H5"/>
    <mergeCell ref="B6:F6"/>
    <mergeCell ref="B7:F7"/>
    <mergeCell ref="B10:H10"/>
    <mergeCell ref="B12:F12"/>
    <mergeCell ref="B11:F11"/>
    <mergeCell ref="B13:F13"/>
    <mergeCell ref="B14:F14"/>
    <mergeCell ref="B18:F18"/>
    <mergeCell ref="B41:F41"/>
    <mergeCell ref="B44:H44"/>
    <mergeCell ref="B25:F25"/>
    <mergeCell ref="B30:H30"/>
    <mergeCell ref="B31:F31"/>
    <mergeCell ref="B35:F35"/>
    <mergeCell ref="B38:H38"/>
    <mergeCell ref="B34:F34"/>
    <mergeCell ref="B23:H23"/>
    <mergeCell ref="B17:H17"/>
    <mergeCell ref="B19:F19"/>
    <mergeCell ref="B24:F24"/>
    <mergeCell ref="B40:F40"/>
    <mergeCell ref="B32:F32"/>
    <mergeCell ref="B33:F33"/>
    <mergeCell ref="B39:F39"/>
    <mergeCell ref="B26:F26"/>
    <mergeCell ref="B27:F27"/>
    <mergeCell ref="B57:H57"/>
    <mergeCell ref="B45:F45"/>
    <mergeCell ref="B58:F58"/>
    <mergeCell ref="B59:F59"/>
    <mergeCell ref="B60:F60"/>
    <mergeCell ref="B46:F46"/>
    <mergeCell ref="B47:F47"/>
    <mergeCell ref="B53:F53"/>
    <mergeCell ref="B52:F52"/>
    <mergeCell ref="B54:F54"/>
    <mergeCell ref="B51:H51"/>
    <mergeCell ref="B48:F4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3" t="s">
        <v>80</v>
      </c>
      <c r="C3" s="83"/>
      <c r="D3" s="83"/>
      <c r="E3" s="83"/>
      <c r="F3" s="83"/>
      <c r="G3" s="83"/>
      <c r="H3" s="83"/>
      <c r="I3" s="1"/>
    </row>
    <row r="4" spans="1:9" ht="15" customHeight="1" x14ac:dyDescent="0.45">
      <c r="A4" s="1"/>
      <c r="B4" s="83"/>
      <c r="C4" s="83"/>
      <c r="D4" s="83"/>
      <c r="E4" s="83"/>
      <c r="F4" s="83"/>
      <c r="G4" s="83"/>
      <c r="H4" s="8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13" t="s">
        <v>10</v>
      </c>
      <c r="C8" s="114"/>
      <c r="D8" s="114"/>
      <c r="E8" s="114"/>
      <c r="F8" s="114"/>
      <c r="G8" s="114"/>
      <c r="H8" s="115"/>
      <c r="I8" s="1"/>
    </row>
    <row r="9" spans="1:9" x14ac:dyDescent="0.45">
      <c r="A9" s="1"/>
      <c r="B9" s="107" t="s">
        <v>261</v>
      </c>
      <c r="C9" s="108"/>
      <c r="D9" s="108"/>
      <c r="E9" s="108"/>
      <c r="F9" s="109"/>
      <c r="G9" s="23">
        <v>2.6407336322698781E-3</v>
      </c>
      <c r="H9" s="14"/>
      <c r="I9" s="1"/>
    </row>
    <row r="10" spans="1:9" x14ac:dyDescent="0.45">
      <c r="A10" s="1"/>
      <c r="B10" s="107" t="s">
        <v>105</v>
      </c>
      <c r="C10" s="108"/>
      <c r="D10" s="108"/>
      <c r="E10" s="108"/>
      <c r="F10" s="109"/>
      <c r="G10" s="23">
        <v>0</v>
      </c>
      <c r="H10" s="14"/>
      <c r="I10" s="1"/>
    </row>
    <row r="11" spans="1:9" x14ac:dyDescent="0.45">
      <c r="A11" s="1"/>
      <c r="B11" s="107" t="s">
        <v>195</v>
      </c>
      <c r="C11" s="108"/>
      <c r="D11" s="108"/>
      <c r="E11" s="108"/>
      <c r="F11" s="109"/>
      <c r="G11" s="23">
        <v>0.02</v>
      </c>
      <c r="H11" s="14"/>
      <c r="I11" s="1"/>
    </row>
    <row r="12" spans="1:9" x14ac:dyDescent="0.45">
      <c r="A12" s="1"/>
      <c r="B12" s="36"/>
      <c r="C12" s="37"/>
      <c r="D12" s="37"/>
      <c r="E12" s="37"/>
      <c r="F12" s="37"/>
      <c r="G12" s="37"/>
      <c r="H12" s="20"/>
      <c r="I12" s="1"/>
    </row>
    <row r="13" spans="1:9" ht="40.5" customHeight="1" x14ac:dyDescent="0.45">
      <c r="A13" s="1"/>
      <c r="B13" s="120" t="s">
        <v>196</v>
      </c>
      <c r="C13" s="120"/>
      <c r="D13" s="120"/>
      <c r="E13" s="120"/>
      <c r="F13" s="120"/>
      <c r="G13" s="120"/>
      <c r="H13" s="120"/>
      <c r="I13" s="1"/>
    </row>
    <row r="14" spans="1:9" ht="30.75" customHeight="1" x14ac:dyDescent="0.45">
      <c r="A14" s="18"/>
      <c r="B14" s="1"/>
      <c r="C14" s="1"/>
      <c r="D14" s="1"/>
      <c r="E14" s="1"/>
      <c r="F14" s="1"/>
      <c r="G14" s="1"/>
      <c r="H14" s="1"/>
      <c r="I14" s="18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I48" s="1"/>
    </row>
  </sheetData>
  <sheetProtection algorithmName="SHA-512" hashValue="vPSXBA/Faf8pcqRTWaddkGzPuRQQd3nDaCvExmOI/1Oxc7s456DRS3D1U6/QoJKyYPb78WiVfEqQZ57AaldArQ==" saltValue="ThC/dO7RAReHBCV2/Sc7Pw==" spinCount="100000" sheet="1" objects="1" scenarios="1"/>
  <mergeCells count="6">
    <mergeCell ref="B3:H4"/>
    <mergeCell ref="B13:H13"/>
    <mergeCell ref="B8:H8"/>
    <mergeCell ref="B10:F10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2021-09-13T01:03:43Z</dcterms:modified>
</cp:coreProperties>
</file>