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Rudersdal AS (S081)\ØR2025\"/>
    </mc:Choice>
  </mc:AlternateContent>
  <xr:revisionPtr revIDLastSave="0" documentId="13_ncr:1_{FBE77BC0-85B6-407D-BFE2-52930EA73C9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19" i="19"/>
  <c r="C20"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<sst xmlns="http://schemas.openxmlformats.org/spreadsheetml/2006/main" count="558" uniqueCount="245">
  <si>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</si>
  <si>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</si>
  <si>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</si>
  <si>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</si>
  <si>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</si>
  <si>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</si>
  <si>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</si>
  <si>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</si>
  <si>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</si>
  <si>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</si>
  <si>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</si>
  <si>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</si>
  <si>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</si>
  <si>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</si>
  <si>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</si>
  <si>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</si>
  <si>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</si>
  <si>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</si>
  <si>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</si>
  <si>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</si>
  <si>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</si>
  <si>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</si>
  <si>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</si>
  <si>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</si>
  <si>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</si>
  <si>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</si>
  <si>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</si>
  <si>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</si>
  <si>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</si>
  <si>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</si>
  <si>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</si>
  <si>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</si>
  <si>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</si>
  <si>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</si>
  <si>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</si>
  <si>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</si>
  <si>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</si>
  <si>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</si>
  <si>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Drift</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</si>
  <si>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</si>
  <si>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</si>
  <si>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</si>
  <si>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</si>
  <si>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</si>
  <si>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</si>
  <si>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</si>
  <si>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</si>
  <si>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</si>
  <si>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</si>
  <si>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</si>
  <si>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</si>
  <si>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</si>
  <si>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</si>
  <si>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</si>
  <si>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</si>
  <si>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</si>
  <si>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</si>
  <si>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</si>
  <si>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</si>
  <si>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</si>
  <si>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</si>
  <si>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</si>
  <si>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</si>
  <si>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</si>
  <si>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</si>
  <si>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</si>
  <si>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</si>
  <si>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</si>
  <si>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</si>
  <si>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</si>
  <si>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</si>
  <si>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</si>
  <si>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</si>
  <si>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</si>
  <si>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</si>
  <si>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</si>
  <si>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</si>
  <si>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</si>
  <si>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</si>
  <si>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</si>
  <si>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</si>
  <si>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</si>
  <si>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</si>
  <si>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</si>
  <si>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</si>
  <si>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</si>
  <si>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</si>
  <si>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</si>
  <si>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</si>
  <si>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</si>
  <si>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</si>
  <si>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</si>
  <si>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</si>
  <si>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</si>
  <si>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</si>
  <si>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</si>
  <si>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</si>
  <si>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</si>
  <si>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</si>
  <si>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</si>
  <si>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</si>
  <si>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</si>
  <si>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</si>
  <si>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</si>
  <si>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</si>
  <si>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</si>
  <si>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</si>
  <si>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</si>
  <si>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</si>
  <si>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</si>
  <si>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</si>
  <si>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</si>
  <si>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</si>
  <si>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</si>
  <si>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</si>
  <si>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</si>
  <si>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</si>
  <si>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</si>
  <si>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</si>
  <si>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</si>
  <si>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</si>
  <si>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</si>
  <si>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</si>
  <si>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</si>
  <si>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</si>
  <si>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</si>
  <si>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</si>
  <si>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</si>
  <si>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</si>
  <si>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</si>
  <si>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</si>
  <si>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</si>
  <si>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</si>
  <si>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</si>
  <si>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</si>
  <si>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</si>
  <si>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</si>
  <si>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</si>
  <si>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</si>
  <si>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</si>
  <si>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</si>
  <si>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</si>
  <si>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</si>
  <si>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</si>
  <si>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</si>
  <si>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</si>
  <si>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</si>
  <si>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</si>
  <si>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</si>
  <si>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</si>
  <si>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</si>
  <si>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</si>
  <si>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</si>
  <si>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</si>
  <si>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</si>
  <si>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</si>
  <si>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</si>
  <si>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</si>
  <si>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</si>
  <si>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</si>
  <si>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</si>
  <si>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</si>
  <si>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</si>
  <si>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</si>
  <si>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</si>
  <si>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</si>
  <si>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</si>
  <si>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</si>
  <si>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</si>
  <si>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</si>
  <si>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</si>
  <si>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</si>
  <si>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</si>
  <si>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</si>
  <si>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</si>
  <si>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</si>
  <si>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</si>
  <si>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</si>
  <si>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</si>
  <si>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</si>
  <si>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</si>
  <si>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</si>
  <si>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</si>
  <si>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</si>
  <si>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</si>
  <si>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</si>
  <si>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</si>
  <si>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</si>
  <si>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</si>
  <si>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</si>
  <si>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</si>
  <si>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</si>
  <si>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</si>
  <si>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</si>
  <si>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</si>
  <si>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</si>
  <si>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</si>
  <si>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</si>
  <si>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</si>
  <si>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</si>
  <si>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</si>
  <si>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</si>
  <si>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</si>
  <si>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</si>
  <si>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</si>
  <si>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</si>
  <si>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</si>
  <si>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</si>
  <si>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</si>
  <si>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</si>
  <si>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</si>
  <si>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</si>
  <si>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</si>
  <si>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</si>
  <si>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</si>
  <si>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</si>
  <si>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</si>
  <si>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</si>
  <si>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</si>
  <si>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</si>
  <si>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</si>
  <si>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</si>
  <si>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</si>
  <si>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</si>
  <si>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</si>
  <si>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Effektiviseringskrav (generelt og individuelt) –  Drift</t>
  </si>
  <si>
    <t>Effektiviseringskrav (generelt og individuelt) –  Anlæg</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</si>
  <si>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</si>
  <si>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</si>
  <si>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</si>
  <si>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</si>
  <si>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</si>
  <si>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</si>
  <si>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</si>
  <si>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Tjenestemandspensioner</t>
  </si>
  <si>
    <t>Erstatninger</t>
  </si>
  <si>
    <t>Gebyr til Miljøstyrelsen</t>
  </si>
  <si>
    <t>Til statusmeddelelse for 2025</t>
  </si>
  <si>
    <t>Ignition</t>
  </si>
  <si>
    <t>områdeplaner</t>
  </si>
  <si>
    <t>Byggemodning Stationsvej 42 Birkerød</t>
  </si>
  <si>
    <t>Byggemodning Vedbæk Park</t>
  </si>
  <si>
    <t>Stiketablering</t>
  </si>
  <si>
    <t>forurening Vejlesø ekstra</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</si>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</sst>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3" fontId="15" fillId="8" borderId="1" xfId="0"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4" xfId="0" applyFont="1" applyFill="1" applyBorder="1" applyAlignment="1" applyProtection="1">
      <alignment horizontal="lef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237</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128</v>
      </c>
      <c r="D13" s="100"/>
      <c r="E13" s="100"/>
      <c r="F13" s="101"/>
      <c r="G13" s="5"/>
    </row>
    <row r="14" spans="1:7" x14ac:dyDescent="0.25">
      <c r="A14" s="1"/>
      <c r="B14" s="6" t="s">
        <v>16</v>
      </c>
      <c r="C14" s="84" t="s">
        <v>186</v>
      </c>
      <c r="D14" s="85"/>
      <c r="E14" s="85"/>
      <c r="F14" s="86"/>
      <c r="G14" s="5"/>
    </row>
    <row r="15" spans="1:7" x14ac:dyDescent="0.25">
      <c r="A15" s="1"/>
      <c r="B15" s="6" t="s">
        <v>30</v>
      </c>
      <c r="C15" s="84" t="s">
        <v>150</v>
      </c>
      <c r="D15" s="85"/>
      <c r="E15" s="85"/>
      <c r="F15" s="86"/>
      <c r="G15" s="5"/>
    </row>
    <row r="16" spans="1:7" x14ac:dyDescent="0.25">
      <c r="A16" s="1"/>
      <c r="B16" s="6" t="s">
        <v>31</v>
      </c>
      <c r="C16" s="84" t="s">
        <v>152</v>
      </c>
      <c r="D16" s="85"/>
      <c r="E16" s="85"/>
      <c r="F16" s="86"/>
      <c r="G16" s="5"/>
    </row>
    <row r="17" spans="1:8" x14ac:dyDescent="0.25">
      <c r="A17" s="1"/>
      <c r="B17" s="6" t="s">
        <v>62</v>
      </c>
      <c r="C17" s="84" t="s">
        <v>153</v>
      </c>
      <c r="D17" s="85"/>
      <c r="E17" s="85"/>
      <c r="F17" s="86"/>
      <c r="G17" s="5"/>
    </row>
    <row r="18" spans="1:8" x14ac:dyDescent="0.25">
      <c r="A18" s="1"/>
      <c r="B18" s="6" t="s">
        <v>54</v>
      </c>
      <c r="C18" s="96" t="s">
        <v>46</v>
      </c>
      <c r="D18" s="97"/>
      <c r="E18" s="97"/>
      <c r="F18" s="98"/>
      <c r="G18" s="5"/>
    </row>
    <row r="19" spans="1:8" x14ac:dyDescent="0.25">
      <c r="A19" s="1"/>
      <c r="B19" s="6" t="s">
        <v>55</v>
      </c>
      <c r="C19" s="96" t="s">
        <v>47</v>
      </c>
      <c r="D19" s="97"/>
      <c r="E19" s="97"/>
      <c r="F19" s="98"/>
      <c r="G19" s="5"/>
    </row>
    <row r="20" spans="1:8" x14ac:dyDescent="0.25">
      <c r="A20" s="1"/>
      <c r="B20" s="6" t="s">
        <v>7</v>
      </c>
      <c r="C20" s="96" t="s">
        <v>10</v>
      </c>
      <c r="D20" s="97"/>
      <c r="E20" s="97"/>
      <c r="F20" s="98"/>
      <c r="G20" s="5"/>
    </row>
    <row r="21" spans="1:8" x14ac:dyDescent="0.25">
      <c r="A21" s="1"/>
      <c r="B21" s="6" t="s">
        <v>56</v>
      </c>
      <c r="C21" s="88" t="s">
        <v>12</v>
      </c>
      <c r="D21" s="89"/>
      <c r="E21" s="89"/>
      <c r="F21" s="90"/>
      <c r="G21" s="5"/>
    </row>
    <row r="22" spans="1:8" x14ac:dyDescent="0.25">
      <c r="A22" s="1"/>
      <c r="B22" s="6" t="s">
        <v>40</v>
      </c>
      <c r="C22" s="91" t="s">
        <v>154</v>
      </c>
      <c r="D22" s="92"/>
      <c r="E22" s="92"/>
      <c r="F22" s="93"/>
      <c r="G22" s="5"/>
    </row>
    <row r="23" spans="1:8" x14ac:dyDescent="0.25">
      <c r="A23" s="1"/>
      <c r="B23" s="6" t="s">
        <v>8</v>
      </c>
      <c r="C23" s="91" t="s">
        <v>113</v>
      </c>
      <c r="D23" s="92"/>
      <c r="E23" s="92"/>
      <c r="F23" s="93"/>
      <c r="G23" s="5"/>
    </row>
    <row r="24" spans="1:8" x14ac:dyDescent="0.25">
      <c r="A24" s="1"/>
      <c r="B24" s="6" t="s">
        <v>9</v>
      </c>
      <c r="C24" s="91" t="s">
        <v>155</v>
      </c>
      <c r="D24" s="92"/>
      <c r="E24" s="92"/>
      <c r="F24" s="93"/>
      <c r="G24" s="5"/>
    </row>
    <row r="25" spans="1:8" x14ac:dyDescent="0.25">
      <c r="A25" s="1"/>
      <c r="B25" s="6" t="s">
        <v>98</v>
      </c>
      <c r="C25" s="91" t="s">
        <v>92</v>
      </c>
      <c r="D25" s="92"/>
      <c r="E25" s="92"/>
      <c r="F25" s="93"/>
      <c r="G25" s="1"/>
    </row>
    <row r="26" spans="1:8" x14ac:dyDescent="0.25">
      <c r="A26" s="1"/>
      <c r="B26" s="6" t="s">
        <v>99</v>
      </c>
      <c r="C26" s="91" t="s">
        <v>41</v>
      </c>
      <c r="D26" s="92"/>
      <c r="E26" s="92"/>
      <c r="F26" s="93"/>
      <c r="G26" s="1"/>
    </row>
    <row r="27" spans="1:8" x14ac:dyDescent="0.25">
      <c r="A27" s="1"/>
      <c r="B27" s="6" t="s">
        <v>100</v>
      </c>
      <c r="C27" s="91" t="s">
        <v>42</v>
      </c>
      <c r="D27" s="92"/>
      <c r="E27" s="92"/>
      <c r="F27" s="93"/>
      <c r="G27" s="1"/>
    </row>
    <row r="28" spans="1:8" x14ac:dyDescent="0.25">
      <c r="A28" s="1"/>
      <c r="B28" s="6" t="s">
        <v>15</v>
      </c>
      <c r="C28" s="91" t="s">
        <v>43</v>
      </c>
      <c r="D28" s="92"/>
      <c r="E28" s="92"/>
      <c r="F28" s="93"/>
      <c r="G28" s="1"/>
      <c r="H28" s="2" t="s">
        <v>151</v>
      </c>
    </row>
    <row r="29" spans="1:8" x14ac:dyDescent="0.25">
      <c r="A29" s="1"/>
      <c r="B29" s="6" t="s">
        <v>33</v>
      </c>
      <c r="C29" s="91" t="s">
        <v>69</v>
      </c>
      <c r="D29" s="92"/>
      <c r="E29" s="92"/>
      <c r="F29" s="93"/>
      <c r="G29" s="1"/>
    </row>
    <row r="30" spans="1:8" x14ac:dyDescent="0.25">
      <c r="A30" s="1"/>
      <c r="B30" s="6" t="s">
        <v>34</v>
      </c>
      <c r="C30" s="91" t="s">
        <v>32</v>
      </c>
      <c r="D30" s="92"/>
      <c r="E30" s="92"/>
      <c r="F30" s="93"/>
      <c r="G30" s="1"/>
    </row>
    <row r="31" spans="1:8" x14ac:dyDescent="0.25">
      <c r="A31" s="1"/>
      <c r="B31" s="6" t="s">
        <v>101</v>
      </c>
      <c r="C31" s="102" t="s">
        <v>53</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DOQTUXitV33JqkbHuKrXXlntDpRIJgmGM9LL1ze2kWeJ8O56xY1yFvO5D8oHY2qd8zsSDB6ofKTUS49k6mJ4yA==" saltValue="0SWaZsfiRSXRVhaCQpEJc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59</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2" t="s">
        <v>166</v>
      </c>
      <c r="C8" s="113"/>
      <c r="D8" s="114"/>
      <c r="E8" s="1"/>
    </row>
    <row r="9" spans="1:5" ht="15" customHeight="1" x14ac:dyDescent="0.25">
      <c r="A9" s="1"/>
      <c r="B9" s="27" t="s">
        <v>28</v>
      </c>
      <c r="C9" s="68" t="s">
        <v>167</v>
      </c>
      <c r="D9" s="11"/>
      <c r="E9" s="1"/>
    </row>
    <row r="10" spans="1:5" ht="15" customHeight="1" x14ac:dyDescent="0.25">
      <c r="A10" s="1"/>
      <c r="B10" s="73" t="s">
        <v>230</v>
      </c>
      <c r="C10" s="74">
        <v>1266250</v>
      </c>
      <c r="D10" s="14" t="s">
        <v>3</v>
      </c>
      <c r="E10" s="1"/>
    </row>
    <row r="11" spans="1:5" ht="15" customHeight="1" x14ac:dyDescent="0.25">
      <c r="A11" s="1"/>
      <c r="B11" s="73" t="s">
        <v>231</v>
      </c>
      <c r="C11" s="74">
        <v>92796</v>
      </c>
      <c r="D11" s="14" t="s">
        <v>3</v>
      </c>
      <c r="E11" s="1"/>
    </row>
    <row r="12" spans="1:5" ht="25.5" x14ac:dyDescent="0.25">
      <c r="A12" s="1"/>
      <c r="B12" s="73" t="s">
        <v>232</v>
      </c>
      <c r="C12" s="74">
        <v>12135119</v>
      </c>
      <c r="D12" s="14" t="s">
        <v>3</v>
      </c>
      <c r="E12" s="1"/>
    </row>
    <row r="13" spans="1:5" x14ac:dyDescent="0.25">
      <c r="A13" s="1"/>
      <c r="B13" s="73" t="s">
        <v>233</v>
      </c>
      <c r="C13" s="74">
        <v>133766</v>
      </c>
      <c r="D13" s="14" t="s">
        <v>3</v>
      </c>
      <c r="E13" s="1"/>
    </row>
    <row r="14" spans="1:5" x14ac:dyDescent="0.25">
      <c r="A14" s="1"/>
      <c r="B14" s="73" t="s">
        <v>234</v>
      </c>
      <c r="C14" s="74">
        <v>526047</v>
      </c>
      <c r="D14" s="14" t="s">
        <v>3</v>
      </c>
      <c r="E14" s="1"/>
    </row>
    <row r="15" spans="1:5" x14ac:dyDescent="0.25">
      <c r="A15" s="1"/>
      <c r="B15" s="73" t="s">
        <v>235</v>
      </c>
      <c r="C15" s="74">
        <v>105527</v>
      </c>
      <c r="D15" s="14" t="s">
        <v>3</v>
      </c>
      <c r="E15" s="1"/>
    </row>
    <row r="16" spans="1:5" x14ac:dyDescent="0.25">
      <c r="A16" s="1"/>
      <c r="B16" s="73" t="s">
        <v>236</v>
      </c>
      <c r="C16" s="74">
        <v>14348</v>
      </c>
      <c r="D16" s="14" t="s">
        <v>3</v>
      </c>
      <c r="E16" s="1"/>
    </row>
    <row r="17" spans="1:5" x14ac:dyDescent="0.25">
      <c r="A17" s="1"/>
      <c r="B17" s="73"/>
      <c r="C17" s="74"/>
      <c r="D17" s="14" t="s">
        <v>3</v>
      </c>
      <c r="E17" s="1"/>
    </row>
    <row r="18" spans="1:5" x14ac:dyDescent="0.25">
      <c r="A18" s="1"/>
      <c r="B18" s="73"/>
      <c r="C18" s="74"/>
      <c r="D18" s="14" t="s">
        <v>3</v>
      </c>
      <c r="E18" s="1"/>
    </row>
    <row r="19" spans="1:5" x14ac:dyDescent="0.25">
      <c r="A19" s="1"/>
      <c r="B19" s="33" t="s">
        <v>168</v>
      </c>
      <c r="C19" s="12">
        <f>SUM(C10:C18)</f>
        <v>14273853</v>
      </c>
      <c r="D19" s="13" t="s">
        <v>3</v>
      </c>
      <c r="E19" s="1"/>
    </row>
    <row r="20" spans="1:5" x14ac:dyDescent="0.25">
      <c r="A20" s="1"/>
      <c r="B20" s="33" t="s">
        <v>169</v>
      </c>
      <c r="C20" s="12">
        <f>C19*(1+'Fane 15. Nøgletal'!C10)^2</f>
        <v>16229309.340693571</v>
      </c>
      <c r="D20" s="13" t="s">
        <v>3</v>
      </c>
      <c r="E20" s="1"/>
    </row>
    <row r="21" spans="1:5" x14ac:dyDescent="0.25">
      <c r="A21" s="1"/>
      <c r="B21" s="16"/>
      <c r="C21" s="15"/>
      <c r="D21" s="15"/>
      <c r="E21" s="1"/>
    </row>
    <row r="22" spans="1:5" x14ac:dyDescent="0.25">
      <c r="A22" s="1"/>
      <c r="B22" s="16"/>
      <c r="C22" s="15"/>
      <c r="D22" s="15"/>
      <c r="E22" s="1"/>
    </row>
    <row r="23" spans="1:5" x14ac:dyDescent="0.25">
      <c r="A23" s="1"/>
      <c r="B23" s="112" t="s">
        <v>61</v>
      </c>
      <c r="C23" s="113"/>
      <c r="D23" s="114"/>
      <c r="E23" s="1"/>
    </row>
    <row r="24" spans="1:5" x14ac:dyDescent="0.25">
      <c r="A24" s="1"/>
      <c r="B24" s="37" t="s">
        <v>73</v>
      </c>
      <c r="C24" s="9">
        <v>290617</v>
      </c>
      <c r="D24" s="14" t="s">
        <v>3</v>
      </c>
      <c r="E24" s="1"/>
    </row>
    <row r="25" spans="1:5" x14ac:dyDescent="0.25">
      <c r="A25" s="1"/>
      <c r="B25" s="37" t="s">
        <v>84</v>
      </c>
      <c r="C25" s="9">
        <v>290617</v>
      </c>
      <c r="D25" s="14" t="s">
        <v>3</v>
      </c>
      <c r="E25" s="1"/>
    </row>
    <row r="26" spans="1:5" x14ac:dyDescent="0.25">
      <c r="A26" s="1"/>
      <c r="B26" s="37" t="s">
        <v>149</v>
      </c>
      <c r="C26" s="9">
        <v>290617</v>
      </c>
      <c r="D26" s="14" t="s">
        <v>3</v>
      </c>
      <c r="E26" s="1"/>
    </row>
    <row r="27" spans="1:5" x14ac:dyDescent="0.25">
      <c r="A27" s="1"/>
      <c r="B27" s="34" t="s">
        <v>170</v>
      </c>
      <c r="C27" s="9">
        <v>290617</v>
      </c>
      <c r="D27" s="36" t="s">
        <v>3</v>
      </c>
      <c r="E27" s="1"/>
    </row>
    <row r="28" spans="1:5" x14ac:dyDescent="0.25">
      <c r="A28" s="1"/>
      <c r="B28" s="112"/>
      <c r="C28" s="113"/>
      <c r="D28" s="114"/>
      <c r="E28" s="1"/>
    </row>
    <row r="29" spans="1:5" x14ac:dyDescent="0.25">
      <c r="A29" s="1"/>
      <c r="B29" s="1"/>
      <c r="C29" s="1"/>
      <c r="D29" s="1"/>
      <c r="E29" s="1"/>
    </row>
    <row r="30" spans="1:5" x14ac:dyDescent="0.25">
      <c r="A30" s="1"/>
      <c r="B30" s="1"/>
      <c r="C30" s="1"/>
      <c r="D30" s="1"/>
      <c r="E30" s="1"/>
    </row>
    <row r="31" spans="1:5" x14ac:dyDescent="0.25">
      <c r="A31" s="1"/>
      <c r="B31" s="112" t="s">
        <v>48</v>
      </c>
      <c r="C31" s="113"/>
      <c r="D31" s="114"/>
      <c r="E31" s="1"/>
    </row>
    <row r="32" spans="1:5" x14ac:dyDescent="0.25">
      <c r="A32" s="1"/>
      <c r="B32" s="37" t="s">
        <v>73</v>
      </c>
      <c r="C32" s="9">
        <v>216829</v>
      </c>
      <c r="D32" s="14" t="s">
        <v>3</v>
      </c>
      <c r="E32" s="1"/>
    </row>
    <row r="33" spans="1:5" x14ac:dyDescent="0.25">
      <c r="A33" s="1"/>
      <c r="B33" s="37" t="s">
        <v>84</v>
      </c>
      <c r="C33" s="9">
        <v>216829</v>
      </c>
      <c r="D33" s="14" t="s">
        <v>3</v>
      </c>
      <c r="E33" s="1"/>
    </row>
    <row r="34" spans="1:5" x14ac:dyDescent="0.25">
      <c r="A34" s="1"/>
      <c r="B34" s="37" t="s">
        <v>149</v>
      </c>
      <c r="C34" s="9">
        <v>0</v>
      </c>
      <c r="D34" s="14" t="s">
        <v>3</v>
      </c>
      <c r="E34" s="1"/>
    </row>
    <row r="35" spans="1:5" x14ac:dyDescent="0.25">
      <c r="A35" s="1"/>
      <c r="B35" s="34" t="s">
        <v>170</v>
      </c>
      <c r="C35" s="9">
        <v>0</v>
      </c>
      <c r="D35" s="36" t="s">
        <v>3</v>
      </c>
      <c r="E35" s="1"/>
    </row>
    <row r="36" spans="1:5" x14ac:dyDescent="0.25">
      <c r="A36" s="1"/>
      <c r="B36" s="112"/>
      <c r="C36" s="113"/>
      <c r="D36" s="114"/>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x14ac:dyDescent="0.25"/>
  </sheetData>
  <sheetProtection algorithmName="SHA-512" hashValue="0Vcwy7IF0GqiSkowtTlaEIo42ogggnD7p69KA1Vcy/rotBTg6+XP6/h2HBvLEbhTFwMJkSRJKEnXse8b2NE7jA==" saltValue="5mDz3w2L0zAy1gaU83xaIQ==" spinCount="100000" sheet="1" objects="1" scenarios="1"/>
  <mergeCells count="6">
    <mergeCell ref="B36:D36"/>
    <mergeCell ref="B3:D4"/>
    <mergeCell ref="B8:D8"/>
    <mergeCell ref="B23:D23"/>
    <mergeCell ref="B31:D31"/>
    <mergeCell ref="B28:D2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2" t="s">
        <v>78</v>
      </c>
      <c r="C8" s="113"/>
      <c r="D8" s="114"/>
      <c r="E8" s="1"/>
    </row>
    <row r="9" spans="1:5" x14ac:dyDescent="0.25">
      <c r="A9" s="1"/>
      <c r="B9" s="66" t="s">
        <v>204</v>
      </c>
      <c r="C9" s="9">
        <v>4729197.8939339966</v>
      </c>
      <c r="D9" s="14" t="s">
        <v>3</v>
      </c>
      <c r="E9" s="1"/>
    </row>
    <row r="10" spans="1:5" x14ac:dyDescent="0.25">
      <c r="A10" s="1"/>
      <c r="B10" s="33"/>
      <c r="C10" s="28"/>
      <c r="D10" s="19"/>
      <c r="E10" s="1"/>
    </row>
    <row r="11" spans="1:5" ht="53.25" customHeight="1" x14ac:dyDescent="0.25">
      <c r="A11" s="1"/>
      <c r="B11" s="123" t="s">
        <v>212</v>
      </c>
      <c r="C11" s="124"/>
      <c r="D11" s="125"/>
      <c r="E11" s="1"/>
    </row>
    <row r="12" spans="1:5" x14ac:dyDescent="0.25">
      <c r="A12" s="1"/>
      <c r="B12" s="1"/>
      <c r="C12" s="1"/>
      <c r="D12" s="1"/>
      <c r="E12" s="1"/>
    </row>
    <row r="13" spans="1:5" x14ac:dyDescent="0.25">
      <c r="A13" s="1"/>
      <c r="B13" s="112" t="s">
        <v>79</v>
      </c>
      <c r="C13" s="113"/>
      <c r="D13" s="114"/>
      <c r="E13" s="1"/>
    </row>
    <row r="14" spans="1:5" x14ac:dyDescent="0.25">
      <c r="A14" s="1"/>
      <c r="B14" s="66" t="s">
        <v>202</v>
      </c>
      <c r="C14" s="9">
        <v>-176230.5</v>
      </c>
      <c r="D14" s="14" t="s">
        <v>3</v>
      </c>
      <c r="E14" s="1"/>
    </row>
    <row r="15" spans="1:5" x14ac:dyDescent="0.25">
      <c r="A15" s="1"/>
      <c r="B15" s="66" t="s">
        <v>203</v>
      </c>
      <c r="C15" s="9">
        <v>-176230.5</v>
      </c>
      <c r="D15" s="14" t="s">
        <v>3</v>
      </c>
      <c r="E15" s="1"/>
    </row>
    <row r="16" spans="1:5" x14ac:dyDescent="0.25">
      <c r="A16" s="1"/>
      <c r="B16" s="33"/>
      <c r="C16" s="28"/>
      <c r="D16" s="19"/>
      <c r="E16" s="1"/>
    </row>
    <row r="17" spans="1:5" ht="29.25" customHeight="1" x14ac:dyDescent="0.25">
      <c r="A17" s="1"/>
      <c r="B17" s="123" t="s">
        <v>122</v>
      </c>
      <c r="C17" s="124"/>
      <c r="D17" s="125"/>
      <c r="E17" s="1"/>
    </row>
    <row r="18" spans="1:5" x14ac:dyDescent="0.25">
      <c r="A18" s="1"/>
      <c r="B18" s="1"/>
      <c r="C18" s="1"/>
      <c r="D18" s="1"/>
      <c r="E18" s="1"/>
    </row>
    <row r="19" spans="1:5" x14ac:dyDescent="0.25">
      <c r="A19" s="1"/>
      <c r="B19" s="77" t="s">
        <v>205</v>
      </c>
      <c r="C19" s="78"/>
      <c r="D19" s="79"/>
      <c r="E19" s="1"/>
    </row>
    <row r="20" spans="1:5" x14ac:dyDescent="0.25">
      <c r="A20" s="1"/>
      <c r="B20" s="66" t="s">
        <v>206</v>
      </c>
      <c r="C20" s="9">
        <v>82445004.56758821</v>
      </c>
      <c r="D20" s="14" t="s">
        <v>3</v>
      </c>
      <c r="E20" s="1"/>
    </row>
    <row r="21" spans="1:5" x14ac:dyDescent="0.25">
      <c r="A21" s="1"/>
      <c r="B21" s="66" t="s">
        <v>207</v>
      </c>
      <c r="C21" s="9">
        <v>67831997</v>
      </c>
      <c r="D21" s="14" t="s">
        <v>3</v>
      </c>
      <c r="E21" s="1"/>
    </row>
    <row r="22" spans="1:5" x14ac:dyDescent="0.25">
      <c r="A22" s="1"/>
      <c r="B22" s="66" t="s">
        <v>29</v>
      </c>
      <c r="C22" s="9">
        <v>0</v>
      </c>
      <c r="D22" s="14" t="s">
        <v>3</v>
      </c>
      <c r="E22" s="1"/>
    </row>
    <row r="23" spans="1:5" x14ac:dyDescent="0.25">
      <c r="A23" s="1"/>
      <c r="B23" s="83" t="s">
        <v>208</v>
      </c>
      <c r="C23" s="57">
        <f>C20-C21-C22</f>
        <v>14613007.56758821</v>
      </c>
      <c r="D23" s="17" t="s">
        <v>3</v>
      </c>
      <c r="E23" s="1"/>
    </row>
    <row r="24" spans="1:5" x14ac:dyDescent="0.25">
      <c r="A24" s="1"/>
      <c r="B24" s="33"/>
      <c r="C24" s="28"/>
      <c r="D24" s="19"/>
      <c r="E24" s="1"/>
    </row>
    <row r="25" spans="1:5" x14ac:dyDescent="0.25">
      <c r="A25" s="1"/>
      <c r="B25" s="1"/>
      <c r="C25" s="1"/>
      <c r="D25" s="1"/>
      <c r="E25" s="1"/>
    </row>
    <row r="26" spans="1:5" x14ac:dyDescent="0.25">
      <c r="A26" s="1"/>
      <c r="B26" s="112" t="s">
        <v>209</v>
      </c>
      <c r="C26" s="113"/>
      <c r="D26" s="114"/>
      <c r="E26" s="1"/>
    </row>
    <row r="27" spans="1:5" x14ac:dyDescent="0.25">
      <c r="A27" s="1"/>
      <c r="B27" s="83" t="s">
        <v>210</v>
      </c>
      <c r="C27" s="57">
        <f>IF(AND(C15&lt;0,C23&gt;0,ABS(SUM(C14:C15))&lt;C23),ABS(C14),IF(AND(C15&lt;0,C23&gt;0,ABS(SUM(C14:C15))&gt;C23),SUM(C14,C23),C15))</f>
        <v>176230.5</v>
      </c>
      <c r="D27" s="17" t="s">
        <v>3</v>
      </c>
      <c r="E27" s="1"/>
    </row>
    <row r="28" spans="1:5" x14ac:dyDescent="0.25">
      <c r="A28" s="1"/>
      <c r="B28" s="112"/>
      <c r="C28" s="113"/>
      <c r="D28" s="114"/>
      <c r="E28" s="1"/>
    </row>
    <row r="29" spans="1:5" x14ac:dyDescent="0.25">
      <c r="A29" s="1"/>
      <c r="B29" s="1"/>
      <c r="C29" s="1"/>
      <c r="D29" s="1"/>
      <c r="E29" s="1"/>
    </row>
    <row r="30" spans="1:5" x14ac:dyDescent="0.25">
      <c r="A30" s="1"/>
      <c r="B30" s="112" t="s">
        <v>211</v>
      </c>
      <c r="C30" s="113"/>
      <c r="D30" s="114"/>
      <c r="E30" s="1"/>
    </row>
    <row r="31" spans="1:5" x14ac:dyDescent="0.25">
      <c r="A31" s="1"/>
      <c r="B31" s="67" t="s">
        <v>70</v>
      </c>
      <c r="C31" s="58">
        <f>IF(AND(C9&gt;0,(C9+C23)&gt;0),0,IF(AND(C9&gt;0,(C9+C23)&lt;0),(C9+C23),IF(AND(C9&lt;0,C23&lt;0),C23,0)))</f>
        <v>0</v>
      </c>
      <c r="D31" s="14" t="s">
        <v>3</v>
      </c>
      <c r="E31" s="1"/>
    </row>
    <row r="32" spans="1:5" x14ac:dyDescent="0.25">
      <c r="A32" s="1"/>
      <c r="B32" s="67" t="s">
        <v>50</v>
      </c>
      <c r="C32" s="9">
        <v>2</v>
      </c>
      <c r="D32" s="14" t="s">
        <v>20</v>
      </c>
      <c r="E32" s="1"/>
    </row>
    <row r="33" spans="1:5" x14ac:dyDescent="0.25">
      <c r="A33" s="1"/>
      <c r="B33" s="68" t="s">
        <v>71</v>
      </c>
      <c r="C33" s="57">
        <f>C31/C32</f>
        <v>0</v>
      </c>
      <c r="D33" s="17" t="s">
        <v>3</v>
      </c>
      <c r="E33" s="1"/>
    </row>
    <row r="34" spans="1:5" x14ac:dyDescent="0.25">
      <c r="A34" s="1"/>
      <c r="B34" s="120"/>
      <c r="C34" s="121"/>
      <c r="D34" s="122"/>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JjFGK7YFga/cOyJSsT6zzLpb2sxWOmt9DNxAWN/b6C197Ezf1YhdvAo7561ky+nuAK5lI5v2ODDFY9iDJ/E67A==" saltValue="8yLpiAFmKAodWCH67hw76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11" t="s">
        <v>102</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112" t="s">
        <v>121</v>
      </c>
      <c r="C8" s="113"/>
      <c r="D8" s="114"/>
      <c r="E8" s="1"/>
    </row>
    <row r="9" spans="1:5" ht="15" customHeight="1" x14ac:dyDescent="0.25">
      <c r="A9" s="1"/>
      <c r="B9" s="126" t="s">
        <v>103</v>
      </c>
      <c r="C9" s="127"/>
      <c r="D9" s="128"/>
      <c r="E9" s="1"/>
    </row>
    <row r="10" spans="1:5" x14ac:dyDescent="0.25">
      <c r="A10" s="1"/>
      <c r="B10" s="69" t="s">
        <v>104</v>
      </c>
      <c r="C10" s="9"/>
      <c r="D10" s="9" t="s">
        <v>3</v>
      </c>
      <c r="E10" s="1"/>
    </row>
    <row r="11" spans="1:5" x14ac:dyDescent="0.25">
      <c r="A11" s="1"/>
      <c r="B11" s="69" t="s">
        <v>105</v>
      </c>
      <c r="C11" s="9"/>
      <c r="D11" s="9" t="s">
        <v>3</v>
      </c>
      <c r="E11" s="1"/>
    </row>
    <row r="12" spans="1:5" x14ac:dyDescent="0.25">
      <c r="A12" s="1"/>
      <c r="B12" s="69" t="s">
        <v>106</v>
      </c>
      <c r="C12" s="9"/>
      <c r="D12" s="9" t="s">
        <v>3</v>
      </c>
      <c r="E12" s="1"/>
    </row>
    <row r="13" spans="1:5" x14ac:dyDescent="0.25">
      <c r="A13" s="1"/>
      <c r="B13" s="69" t="s">
        <v>107</v>
      </c>
      <c r="C13" s="9"/>
      <c r="D13" s="9" t="s">
        <v>3</v>
      </c>
      <c r="E13" s="1"/>
    </row>
    <row r="14" spans="1:5" x14ac:dyDescent="0.25">
      <c r="A14" s="1"/>
      <c r="B14" s="69" t="s">
        <v>108</v>
      </c>
      <c r="C14" s="9"/>
      <c r="D14" s="9" t="s">
        <v>3</v>
      </c>
      <c r="E14" s="1"/>
    </row>
    <row r="15" spans="1:5" x14ac:dyDescent="0.25">
      <c r="A15" s="1"/>
      <c r="B15" s="69" t="s">
        <v>109</v>
      </c>
      <c r="C15" s="9"/>
      <c r="D15" s="9" t="s">
        <v>3</v>
      </c>
      <c r="E15" s="1"/>
    </row>
    <row r="16" spans="1:5" x14ac:dyDescent="0.25">
      <c r="A16" s="1"/>
      <c r="B16" s="69" t="s">
        <v>110</v>
      </c>
      <c r="C16" s="9"/>
      <c r="D16" s="9" t="s">
        <v>3</v>
      </c>
      <c r="E16" s="1"/>
    </row>
    <row r="17" spans="1:5" x14ac:dyDescent="0.25">
      <c r="A17" s="1"/>
      <c r="B17" s="69" t="s">
        <v>111</v>
      </c>
      <c r="C17" s="9"/>
      <c r="D17" s="9" t="s">
        <v>3</v>
      </c>
      <c r="E17" s="1"/>
    </row>
    <row r="18" spans="1:5" x14ac:dyDescent="0.25">
      <c r="A18" s="1"/>
      <c r="B18" s="77" t="s">
        <v>112</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x0yjWegDmuVQCDKL93QrU7c/niMAheTe+xWMIGG+7JxK0FWZ9PP/+gEoKbS5TnVDlmxc92ge5AHfL1ceCWwrw==" saltValue="Fl8xNcEj01UGLt7wLdQdL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171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2" t="s">
        <v>172</v>
      </c>
      <c r="C8" s="113"/>
      <c r="D8" s="114"/>
      <c r="E8" s="1"/>
    </row>
    <row r="9" spans="1:5" ht="26.25" x14ac:dyDescent="0.25">
      <c r="A9" s="1"/>
      <c r="B9" s="80" t="s">
        <v>217</v>
      </c>
      <c r="C9" s="7"/>
      <c r="D9" s="8" t="s">
        <v>3</v>
      </c>
      <c r="E9" s="1"/>
    </row>
    <row r="10" spans="1:5" ht="14.25" customHeight="1" x14ac:dyDescent="0.25">
      <c r="A10" s="1"/>
      <c r="B10" s="66" t="s">
        <v>173</v>
      </c>
      <c r="C10" s="7"/>
      <c r="D10" s="8" t="s">
        <v>3</v>
      </c>
      <c r="E10" s="1"/>
    </row>
    <row r="11" spans="1:5" ht="14.25" customHeight="1" x14ac:dyDescent="0.25">
      <c r="A11" s="1"/>
      <c r="B11" s="83" t="s">
        <v>49</v>
      </c>
      <c r="C11" s="10">
        <f>C10-C9</f>
        <v>0</v>
      </c>
      <c r="D11" s="11" t="s">
        <v>3</v>
      </c>
      <c r="E11" s="1"/>
    </row>
    <row r="12" spans="1:5" ht="14.25" customHeight="1" x14ac:dyDescent="0.25">
      <c r="A12" s="1"/>
      <c r="B12" s="112" t="s">
        <v>219</v>
      </c>
      <c r="C12" s="113"/>
      <c r="D12" s="114"/>
      <c r="E12" s="1"/>
    </row>
    <row r="13" spans="1:5" ht="26.25" x14ac:dyDescent="0.25">
      <c r="A13" s="1"/>
      <c r="B13" s="80" t="s">
        <v>218</v>
      </c>
      <c r="C13" s="7">
        <v>290617</v>
      </c>
      <c r="D13" s="8" t="s">
        <v>3</v>
      </c>
      <c r="E13" s="1"/>
    </row>
    <row r="14" spans="1:5" ht="14.25" customHeight="1" x14ac:dyDescent="0.25">
      <c r="A14" s="1"/>
      <c r="B14" s="66" t="s">
        <v>174</v>
      </c>
      <c r="C14" s="7">
        <v>298934</v>
      </c>
      <c r="D14" s="8" t="s">
        <v>3</v>
      </c>
      <c r="E14" s="1"/>
    </row>
    <row r="15" spans="1:5" ht="14.25" customHeight="1" x14ac:dyDescent="0.25">
      <c r="A15" s="1"/>
      <c r="B15" s="83" t="s">
        <v>49</v>
      </c>
      <c r="C15" s="10">
        <f>C14-C13</f>
        <v>8317</v>
      </c>
      <c r="D15" s="11" t="s">
        <v>3</v>
      </c>
      <c r="E15" s="1"/>
    </row>
    <row r="16" spans="1:5" ht="14.25" customHeight="1" x14ac:dyDescent="0.25">
      <c r="A16" s="1"/>
      <c r="B16" s="33" t="s">
        <v>175</v>
      </c>
      <c r="C16" s="12">
        <f>C11+C15</f>
        <v>8317</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JiViSjrZ0azH0SKyJyDEKHX2z13Wq4BCuvupzXjrgShCOayrDBzvEq5Pp8n+8ME6MS1MmoLyoI04wqJTmxIpkw==" saltValue="yY2WBtbCT+Smnc/JF8q1n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114</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87</v>
      </c>
      <c r="C8" s="113"/>
      <c r="D8" s="113"/>
      <c r="E8" s="113"/>
      <c r="F8" s="113"/>
      <c r="G8" s="113"/>
      <c r="H8" s="113"/>
      <c r="I8" s="113"/>
      <c r="J8" s="113"/>
      <c r="K8" s="114"/>
      <c r="L8" s="1"/>
    </row>
    <row r="9" spans="1:12" ht="39.75" customHeight="1" x14ac:dyDescent="0.25">
      <c r="A9" s="1"/>
      <c r="B9" s="18" t="s">
        <v>0</v>
      </c>
      <c r="C9" s="18" t="s">
        <v>1</v>
      </c>
      <c r="D9" s="129" t="s">
        <v>97</v>
      </c>
      <c r="E9" s="130"/>
      <c r="F9" s="129" t="s">
        <v>2</v>
      </c>
      <c r="G9" s="130"/>
      <c r="H9" s="129" t="s">
        <v>96</v>
      </c>
      <c r="I9" s="130"/>
      <c r="J9" s="129" t="s">
        <v>26</v>
      </c>
      <c r="K9" s="130"/>
      <c r="L9" s="1"/>
    </row>
    <row r="10" spans="1:12" x14ac:dyDescent="0.25">
      <c r="A10" s="1"/>
      <c r="B10" s="69" t="s">
        <v>224</v>
      </c>
      <c r="C10" s="42">
        <v>0</v>
      </c>
      <c r="D10" s="9">
        <v>0</v>
      </c>
      <c r="E10" s="14" t="s">
        <v>3</v>
      </c>
      <c r="F10" s="9">
        <f>IFERROR(D10/C10,0)</f>
        <v>0</v>
      </c>
      <c r="G10" s="14" t="s">
        <v>3</v>
      </c>
      <c r="H10" s="38">
        <v>0</v>
      </c>
      <c r="I10" s="14" t="s">
        <v>3</v>
      </c>
      <c r="J10" s="38">
        <v>0</v>
      </c>
      <c r="K10" s="14" t="s">
        <v>3</v>
      </c>
      <c r="L10" s="1"/>
    </row>
    <row r="11" spans="1:12" x14ac:dyDescent="0.25">
      <c r="A11" s="1"/>
      <c r="B11" s="77" t="s">
        <v>221</v>
      </c>
      <c r="C11" s="78"/>
      <c r="D11" s="79"/>
      <c r="E11" s="79"/>
      <c r="F11" s="12">
        <f>SUM(F10:F10)</f>
        <v>0</v>
      </c>
      <c r="G11" s="12" t="s">
        <v>95</v>
      </c>
      <c r="H11" s="12">
        <f>SUM(H10:H10)</f>
        <v>0</v>
      </c>
      <c r="I11" s="12" t="s">
        <v>95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gMnDOyBPBUP4QvnOLjDp9om+jg6aZIPAThlaLcrh+iSh3MhdSczSHiA9g/BWZhCadVXOuE0XAn093DMWv+y1A==" saltValue="hPkhp/l6VcYSAtTgcUr7J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88</v>
      </c>
      <c r="C10" s="21">
        <f>'Fane 10. Anlægsprojekter (§ 19)'!H11</f>
        <v>0</v>
      </c>
      <c r="D10" s="14" t="s">
        <v>3</v>
      </c>
      <c r="E10" s="9">
        <f>'Fane 10. Anlægsprojekter (§ 19)'!F11+'Fane 10. Anlægsprojekter (§ 19)'!J11</f>
        <v>0</v>
      </c>
      <c r="F10" s="14" t="s">
        <v>3</v>
      </c>
      <c r="G10" s="1"/>
    </row>
    <row r="11" spans="1:7" x14ac:dyDescent="0.25">
      <c r="A11" s="1"/>
      <c r="B11" s="24" t="s">
        <v>238</v>
      </c>
      <c r="C11" s="21">
        <v>10350</v>
      </c>
      <c r="D11" s="14" t="s">
        <v>3</v>
      </c>
      <c r="E11" s="9">
        <v>1592545</v>
      </c>
      <c r="F11" s="14" t="s">
        <v>3</v>
      </c>
      <c r="G11" s="1"/>
    </row>
    <row r="12" spans="1:7" x14ac:dyDescent="0.25">
      <c r="A12" s="1"/>
      <c r="B12" s="24" t="s">
        <v>239</v>
      </c>
      <c r="C12" s="21">
        <v>0</v>
      </c>
      <c r="D12" s="14" t="s">
        <v>3</v>
      </c>
      <c r="E12" s="9">
        <v>7369961</v>
      </c>
      <c r="F12" s="14" t="s">
        <v>3</v>
      </c>
      <c r="G12" s="1"/>
    </row>
    <row r="13" spans="1:7" x14ac:dyDescent="0.25">
      <c r="A13" s="1"/>
      <c r="B13" s="24" t="s">
        <v>240</v>
      </c>
      <c r="C13" s="21">
        <v>0</v>
      </c>
      <c r="D13" s="14" t="s">
        <v>3</v>
      </c>
      <c r="E13" s="9">
        <v>122706</v>
      </c>
      <c r="F13" s="14" t="s">
        <v>3</v>
      </c>
      <c r="G13" s="1"/>
    </row>
    <row r="14" spans="1:7" x14ac:dyDescent="0.25">
      <c r="A14" s="1"/>
      <c r="B14" s="24" t="s">
        <v>241</v>
      </c>
      <c r="C14" s="21">
        <v>0</v>
      </c>
      <c r="D14" s="14" t="s">
        <v>3</v>
      </c>
      <c r="E14" s="9">
        <v>46815</v>
      </c>
      <c r="F14" s="14" t="s">
        <v>3</v>
      </c>
      <c r="G14" s="1"/>
    </row>
    <row r="15" spans="1:7" x14ac:dyDescent="0.25">
      <c r="A15" s="1"/>
      <c r="B15" s="24" t="s">
        <v>242</v>
      </c>
      <c r="C15" s="21">
        <v>0</v>
      </c>
      <c r="D15" s="14" t="s">
        <v>3</v>
      </c>
      <c r="E15" s="9">
        <v>31251</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140</v>
      </c>
      <c r="C19" s="12">
        <f>SUM(C10:C18)</f>
        <v>10350</v>
      </c>
      <c r="D19" s="13" t="s">
        <v>3</v>
      </c>
      <c r="E19" s="12">
        <f>SUM(E10:E18)</f>
        <v>9163278</v>
      </c>
      <c r="F19" s="13" t="s">
        <v>3</v>
      </c>
      <c r="G19" s="1"/>
    </row>
    <row r="20" spans="1:7" x14ac:dyDescent="0.25">
      <c r="A20" s="1"/>
      <c r="B20" s="33" t="s">
        <v>176</v>
      </c>
      <c r="C20" s="12">
        <f>C19*(1+'Fane 15. Nøgletal'!C10)</f>
        <v>11036.205</v>
      </c>
      <c r="D20" s="13" t="s">
        <v>3</v>
      </c>
      <c r="E20" s="12">
        <f>E19*(1+'Fane 15. Nøgletal'!C10)</f>
        <v>9770803.3313999996</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4HJJhXueWzQ1y3iWvMMRN2migWtfRHATqfP3a1ZvUSD/XXS3xz+LUdJQN+Ju/UZw0QHJpXcx4wZTMefCyVPhw==" saltValue="jWxE7/VP1aB/qtSrCqk/s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116</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177</v>
      </c>
      <c r="C8" s="113"/>
      <c r="D8" s="113"/>
      <c r="E8" s="113"/>
      <c r="F8" s="114"/>
      <c r="G8" s="1"/>
    </row>
    <row r="9" spans="1:7" x14ac:dyDescent="0.25">
      <c r="A9" s="1"/>
      <c r="B9" s="81" t="s">
        <v>17</v>
      </c>
      <c r="C9" s="83" t="s">
        <v>11</v>
      </c>
      <c r="D9" s="82"/>
      <c r="E9" s="83" t="s">
        <v>27</v>
      </c>
      <c r="F9" s="32"/>
      <c r="G9" s="1"/>
    </row>
    <row r="10" spans="1:7" x14ac:dyDescent="0.25">
      <c r="A10" s="1"/>
      <c r="B10" s="24" t="s">
        <v>243</v>
      </c>
      <c r="C10" s="21">
        <v>4003</v>
      </c>
      <c r="D10" s="14" t="s">
        <v>3</v>
      </c>
      <c r="E10" s="9">
        <v>0</v>
      </c>
      <c r="F10" s="14" t="s">
        <v>3</v>
      </c>
      <c r="G10" s="1"/>
    </row>
    <row r="11" spans="1:7" x14ac:dyDescent="0.25">
      <c r="A11" s="1"/>
      <c r="B11" s="24" t="s">
        <v>238</v>
      </c>
      <c r="C11" s="21">
        <v>0</v>
      </c>
      <c r="D11" s="14" t="s">
        <v>3</v>
      </c>
      <c r="E11" s="9">
        <v>118615</v>
      </c>
      <c r="F11" s="14" t="s">
        <v>3</v>
      </c>
      <c r="G11" s="1"/>
    </row>
    <row r="12" spans="1:7" x14ac:dyDescent="0.25">
      <c r="A12" s="1"/>
      <c r="B12" s="24" t="s">
        <v>239</v>
      </c>
      <c r="C12" s="21">
        <v>0</v>
      </c>
      <c r="D12" s="14" t="s">
        <v>3</v>
      </c>
      <c r="E12" s="9">
        <v>148013</v>
      </c>
      <c r="F12" s="14" t="s">
        <v>3</v>
      </c>
      <c r="G12" s="1"/>
    </row>
    <row r="13" spans="1:7" x14ac:dyDescent="0.25">
      <c r="A13" s="1"/>
      <c r="B13" s="33" t="s">
        <v>244</v>
      </c>
      <c r="C13" s="12">
        <f>SUM(C10:C12)</f>
        <v>4003</v>
      </c>
      <c r="D13" s="13" t="s">
        <v>3</v>
      </c>
      <c r="E13" s="12">
        <f>SUM(E10:E12)</f>
        <v>266628</v>
      </c>
      <c r="F13" s="13" t="s">
        <v>3</v>
      </c>
      <c r="G13" s="1"/>
    </row>
    <row r="14" spans="1:7" x14ac:dyDescent="0.25">
      <c r="A14" s="1"/>
      <c r="B14" s="33" t="s">
        <v>178</v>
      </c>
      <c r="C14" s="12">
        <f>C13*(1+'Fane 15. Nøgletal'!C10)^2</f>
        <v>4551.3937470700002</v>
      </c>
      <c r="D14" s="13" t="s">
        <v>3</v>
      </c>
      <c r="E14" s="12">
        <f>E13*(1+'Fane 15. Nøgletal'!C10)^2</f>
        <v>303154.88683332002</v>
      </c>
      <c r="F14" s="13" t="s">
        <v>3</v>
      </c>
      <c r="G14" s="1"/>
    </row>
    <row r="15" spans="1:7" x14ac:dyDescent="0.25">
      <c r="A15" s="1"/>
      <c r="B15" s="1"/>
      <c r="C15" s="1"/>
      <c r="D15" s="1"/>
      <c r="E15" s="1"/>
      <c r="F15" s="1"/>
      <c r="G15" s="1"/>
    </row>
    <row r="16" spans="1:7" x14ac:dyDescent="0.25">
      <c r="A16" s="1"/>
      <c r="B16" s="131"/>
      <c r="C16" s="131"/>
      <c r="D16" s="131"/>
      <c r="E16" s="131"/>
      <c r="F16" s="131"/>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31"/>
      <c r="C29" s="131"/>
      <c r="D29" s="131"/>
      <c r="E29" s="131"/>
      <c r="F29" s="131"/>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WMmvJHvifax3dsAg7KY6cv/rjsfzcrpCPbQSSTK1U2APSogvHxSEfB98QK1fO5mLstADlF/pI/DnVJjiHp3Pw==" saltValue="NIJwk+gPm7S7dzzAi6lqG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11" t="s">
        <v>117</v>
      </c>
      <c r="C3" s="111"/>
      <c r="D3" s="111"/>
      <c r="E3" s="1"/>
    </row>
    <row r="4" spans="1:5" ht="15" customHeight="1" x14ac:dyDescent="0.25">
      <c r="A4" s="1"/>
      <c r="B4" s="111"/>
      <c r="C4" s="111"/>
      <c r="D4" s="111"/>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ht="14.25" customHeight="1" x14ac:dyDescent="0.25">
      <c r="A8" s="1"/>
      <c r="B8" s="112" t="s">
        <v>74</v>
      </c>
      <c r="C8" s="113"/>
      <c r="D8" s="114"/>
      <c r="E8" s="1"/>
    </row>
    <row r="9" spans="1:5" x14ac:dyDescent="0.25">
      <c r="A9" s="1"/>
      <c r="B9" s="69" t="s">
        <v>179</v>
      </c>
      <c r="C9" s="9"/>
      <c r="D9" s="14" t="s">
        <v>3</v>
      </c>
      <c r="E9" s="1"/>
    </row>
    <row r="10" spans="1:5" x14ac:dyDescent="0.25">
      <c r="A10" s="1"/>
      <c r="B10" s="65" t="s">
        <v>10</v>
      </c>
      <c r="C10" s="9">
        <f>-C9*'Fane 5. Individuelt eff. krav'!C9</f>
        <v>0</v>
      </c>
      <c r="D10" s="14" t="s">
        <v>3</v>
      </c>
      <c r="E10" s="1"/>
    </row>
    <row r="11" spans="1:5" x14ac:dyDescent="0.25">
      <c r="A11" s="1"/>
      <c r="B11" s="65" t="s">
        <v>22</v>
      </c>
      <c r="C11" s="9">
        <f>-C9*'Fane 15. Nøgletal'!C21</f>
        <v>0</v>
      </c>
      <c r="D11" s="14" t="s">
        <v>3</v>
      </c>
      <c r="E11" s="1"/>
    </row>
    <row r="12" spans="1:5" x14ac:dyDescent="0.25">
      <c r="A12" s="1"/>
      <c r="B12" s="77" t="s">
        <v>75</v>
      </c>
      <c r="C12" s="12">
        <f>SUM(C9:C11)*(1+'Fane 15. Nøgletal'!C9)^2</f>
        <v>0</v>
      </c>
      <c r="D12" s="13" t="s">
        <v>3</v>
      </c>
      <c r="E12" s="1"/>
    </row>
    <row r="13" spans="1:5" x14ac:dyDescent="0.25">
      <c r="A13" s="1"/>
      <c r="B13" s="1"/>
      <c r="C13" s="1"/>
      <c r="D13" s="1"/>
      <c r="E13" s="1"/>
    </row>
    <row r="14" spans="1:5" ht="15" customHeight="1" x14ac:dyDescent="0.25">
      <c r="A14" s="1"/>
      <c r="B14" s="112" t="s">
        <v>85</v>
      </c>
      <c r="C14" s="113"/>
      <c r="D14" s="114"/>
      <c r="E14" s="1"/>
    </row>
    <row r="15" spans="1:5" x14ac:dyDescent="0.25">
      <c r="A15" s="1"/>
      <c r="B15" s="69" t="s">
        <v>179</v>
      </c>
      <c r="C15" s="9"/>
      <c r="D15" s="14" t="s">
        <v>3</v>
      </c>
      <c r="E15" s="1"/>
    </row>
    <row r="16" spans="1:5" x14ac:dyDescent="0.25">
      <c r="A16" s="1"/>
      <c r="B16" s="65" t="s">
        <v>10</v>
      </c>
      <c r="C16" s="9">
        <f>-C15*'Fane 5. Individuelt eff. krav'!C9</f>
        <v>0</v>
      </c>
      <c r="D16" s="14" t="s">
        <v>3</v>
      </c>
      <c r="E16" s="1"/>
    </row>
    <row r="17" spans="1:5" x14ac:dyDescent="0.25">
      <c r="A17" s="1"/>
      <c r="B17" s="65" t="s">
        <v>22</v>
      </c>
      <c r="C17" s="9">
        <f>-C15*'Fane 15. Nøgletal'!C21</f>
        <v>0</v>
      </c>
      <c r="D17" s="14" t="s">
        <v>3</v>
      </c>
      <c r="E17" s="1"/>
    </row>
    <row r="18" spans="1:5" x14ac:dyDescent="0.25">
      <c r="A18" s="1"/>
      <c r="B18" s="77" t="s">
        <v>86</v>
      </c>
      <c r="C18" s="12">
        <f>SUM(C15:C17)*(1+'Fane 15. Nøgletal'!C10)^3</f>
        <v>0</v>
      </c>
      <c r="D18" s="13" t="s">
        <v>3</v>
      </c>
      <c r="E18" s="1"/>
    </row>
    <row r="19" spans="1:5" x14ac:dyDescent="0.25">
      <c r="A19" s="1"/>
      <c r="B19" s="1"/>
      <c r="C19" s="1"/>
      <c r="D19" s="1"/>
      <c r="E19" s="1"/>
    </row>
    <row r="20" spans="1:5" ht="15" customHeight="1" x14ac:dyDescent="0.25">
      <c r="A20" s="1"/>
      <c r="B20" s="112" t="s">
        <v>141</v>
      </c>
      <c r="C20" s="113"/>
      <c r="D20" s="114"/>
      <c r="E20" s="1"/>
    </row>
    <row r="21" spans="1:5" x14ac:dyDescent="0.25">
      <c r="A21" s="1"/>
      <c r="B21" s="69" t="s">
        <v>179</v>
      </c>
      <c r="C21" s="9"/>
      <c r="D21" s="14" t="s">
        <v>3</v>
      </c>
      <c r="E21" s="1"/>
    </row>
    <row r="22" spans="1:5" x14ac:dyDescent="0.25">
      <c r="A22" s="1"/>
      <c r="B22" s="65" t="s">
        <v>10</v>
      </c>
      <c r="C22" s="9">
        <f>-C21*'Fane 5. Individuelt eff. krav'!C9</f>
        <v>0</v>
      </c>
      <c r="D22" s="14" t="s">
        <v>3</v>
      </c>
      <c r="E22" s="1"/>
    </row>
    <row r="23" spans="1:5" x14ac:dyDescent="0.25">
      <c r="A23" s="1"/>
      <c r="B23" s="65" t="s">
        <v>22</v>
      </c>
      <c r="C23" s="9">
        <f>-C21*'Fane 15. Nøgletal'!C21</f>
        <v>0</v>
      </c>
      <c r="D23" s="14" t="s">
        <v>3</v>
      </c>
      <c r="E23" s="1"/>
    </row>
    <row r="24" spans="1:5" x14ac:dyDescent="0.25">
      <c r="A24" s="1"/>
      <c r="B24" s="77" t="s">
        <v>142</v>
      </c>
      <c r="C24" s="12">
        <f>SUM(C21:C23)*(1+'Fane 15. Nøgletal'!C10)^4</f>
        <v>0</v>
      </c>
      <c r="D24" s="13" t="s">
        <v>3</v>
      </c>
      <c r="E24" s="1"/>
    </row>
    <row r="25" spans="1:5" x14ac:dyDescent="0.25">
      <c r="A25" s="1"/>
      <c r="B25" s="1"/>
      <c r="C25" s="1"/>
      <c r="D25" s="1"/>
      <c r="E25" s="1"/>
    </row>
    <row r="26" spans="1:5" ht="15" customHeight="1" x14ac:dyDescent="0.25">
      <c r="A26" s="1"/>
      <c r="B26" s="112" t="s">
        <v>180</v>
      </c>
      <c r="C26" s="113"/>
      <c r="D26" s="114"/>
      <c r="E26" s="1"/>
    </row>
    <row r="27" spans="1:5" ht="14.25" customHeight="1" x14ac:dyDescent="0.25">
      <c r="A27" s="1"/>
      <c r="B27" s="69" t="s">
        <v>179</v>
      </c>
      <c r="C27" s="9"/>
      <c r="D27" s="14" t="s">
        <v>3</v>
      </c>
      <c r="E27" s="1"/>
    </row>
    <row r="28" spans="1:5" x14ac:dyDescent="0.25">
      <c r="A28" s="1"/>
      <c r="B28" s="65" t="s">
        <v>10</v>
      </c>
      <c r="C28" s="9">
        <f>-C27*'Fane 5. Individuelt eff. krav'!C9</f>
        <v>0</v>
      </c>
      <c r="D28" s="14" t="s">
        <v>3</v>
      </c>
      <c r="E28" s="1"/>
    </row>
    <row r="29" spans="1:5" x14ac:dyDescent="0.25">
      <c r="A29" s="1"/>
      <c r="B29" s="65" t="s">
        <v>22</v>
      </c>
      <c r="C29" s="9">
        <f>-C27*'Fane 15. Nøgletal'!C21</f>
        <v>0</v>
      </c>
      <c r="D29" s="14" t="s">
        <v>3</v>
      </c>
      <c r="E29" s="1"/>
    </row>
    <row r="30" spans="1:5" x14ac:dyDescent="0.25">
      <c r="A30" s="1"/>
      <c r="B30" s="77"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LG06h8nE5OSG6GmTfPagVNT4xr2s9h1vuHJNzXVkY+GUYQlyuwtvkF70ZEj/iGvaj7ajXa1b2CkdUI2Bq6TtSA==" saltValue="TtVrliixxJIbYHJ4d4D7g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118</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x14ac:dyDescent="0.25">
      <c r="A8" s="1"/>
      <c r="B8" s="112" t="s">
        <v>67</v>
      </c>
      <c r="C8" s="113"/>
      <c r="D8" s="113"/>
      <c r="E8" s="113"/>
      <c r="F8" s="114"/>
      <c r="G8" s="1"/>
    </row>
    <row r="9" spans="1:7" ht="15" customHeight="1" x14ac:dyDescent="0.25">
      <c r="A9" s="1"/>
      <c r="B9" s="31" t="s">
        <v>68</v>
      </c>
      <c r="C9" s="27" t="s">
        <v>11</v>
      </c>
      <c r="D9" s="32"/>
      <c r="E9" s="27" t="s">
        <v>27</v>
      </c>
      <c r="F9" s="32"/>
      <c r="G9" s="1"/>
    </row>
    <row r="10" spans="1:7" ht="26.25" x14ac:dyDescent="0.25">
      <c r="A10" s="1"/>
      <c r="B10" s="71" t="s">
        <v>222</v>
      </c>
      <c r="C10" s="9">
        <v>0</v>
      </c>
      <c r="D10" s="14" t="s">
        <v>3</v>
      </c>
      <c r="E10" s="9">
        <v>0</v>
      </c>
      <c r="F10" s="14" t="s">
        <v>3</v>
      </c>
      <c r="G10" s="1"/>
    </row>
    <row r="11" spans="1:7" ht="28.5" customHeight="1" x14ac:dyDescent="0.25">
      <c r="A11" s="1"/>
      <c r="B11" s="20" t="s">
        <v>143</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0bCFjZqqCeOAc9EU3UKh+K9Om1kEdhNNTDEaHqWUIMnLxbQtYNNQxf1PIhEN8m8YH28oVvOQwEcEf0PeUz1WTg==" saltValue="YLQK39JlZ1AXB4TgkCi8V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119</v>
      </c>
      <c r="C3" s="111"/>
      <c r="D3" s="111"/>
      <c r="E3" s="111"/>
      <c r="F3" s="111"/>
      <c r="G3" s="1"/>
    </row>
    <row r="4" spans="1:7" ht="15" customHeight="1" x14ac:dyDescent="0.25">
      <c r="A4" s="1"/>
      <c r="B4" s="111"/>
      <c r="C4" s="111"/>
      <c r="D4" s="111"/>
      <c r="E4" s="111"/>
      <c r="F4" s="111"/>
      <c r="G4" s="1"/>
    </row>
    <row r="5" spans="1:7" x14ac:dyDescent="0.25">
      <c r="A5" s="1"/>
      <c r="B5" s="111"/>
      <c r="C5" s="111"/>
      <c r="D5" s="111"/>
      <c r="E5" s="111"/>
      <c r="F5" s="111"/>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2" t="s">
        <v>183</v>
      </c>
      <c r="C8" s="113"/>
      <c r="D8" s="113"/>
      <c r="E8" s="113"/>
      <c r="F8" s="114"/>
      <c r="G8" s="1"/>
    </row>
    <row r="9" spans="1:7" x14ac:dyDescent="0.25">
      <c r="A9" s="1"/>
      <c r="B9" s="31" t="s">
        <v>18</v>
      </c>
      <c r="C9" s="132" t="s">
        <v>11</v>
      </c>
      <c r="D9" s="133"/>
      <c r="E9" s="132" t="s">
        <v>27</v>
      </c>
      <c r="F9" s="133"/>
      <c r="G9" s="1"/>
    </row>
    <row r="10" spans="1:7" x14ac:dyDescent="0.25">
      <c r="A10" s="1"/>
      <c r="B10" s="71" t="s">
        <v>223</v>
      </c>
      <c r="C10" s="9">
        <v>0</v>
      </c>
      <c r="D10" s="14" t="s">
        <v>3</v>
      </c>
      <c r="E10" s="9">
        <v>0</v>
      </c>
      <c r="F10" s="14" t="s">
        <v>3</v>
      </c>
      <c r="G10" s="1"/>
    </row>
    <row r="11" spans="1:7" x14ac:dyDescent="0.25">
      <c r="A11" s="1"/>
      <c r="B11" s="33" t="s">
        <v>144</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31"/>
      <c r="C14" s="131"/>
      <c r="D14" s="131"/>
      <c r="E14" s="131"/>
      <c r="F14" s="131"/>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31"/>
      <c r="C21" s="131"/>
      <c r="D21" s="131"/>
      <c r="E21" s="131"/>
      <c r="F21" s="131"/>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31"/>
      <c r="C27" s="131"/>
      <c r="D27" s="131"/>
      <c r="E27" s="131"/>
      <c r="F27" s="131"/>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BIt/MyizwwNolP8LJtkfljH/kHiSAXV71kfX+AX0HV370L7SnaaPeb7rDcZpd24NC9okNfZ22kiHxlZNP+C1Q==" saltValue="C8BAZud1C5NIGowdbOnmq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91</v>
      </c>
      <c r="C9" s="7">
        <f>'Fane 3. Omkostninger i ØR2024'!C20</f>
        <v>62383316.403719112</v>
      </c>
      <c r="D9" s="8" t="s">
        <v>3</v>
      </c>
      <c r="E9" s="1"/>
    </row>
    <row r="10" spans="1:5" ht="17.25" customHeight="1" x14ac:dyDescent="0.25">
      <c r="A10" s="1"/>
      <c r="B10" s="65" t="s">
        <v>35</v>
      </c>
      <c r="C10" s="7">
        <f>'Fane 11.1. Varige tillæg'!C20</f>
        <v>11036.205</v>
      </c>
      <c r="D10" s="8" t="s">
        <v>3</v>
      </c>
      <c r="E10" s="1"/>
    </row>
    <row r="11" spans="1:5" ht="17.25" customHeight="1" x14ac:dyDescent="0.25">
      <c r="A11" s="1"/>
      <c r="B11" s="65" t="s">
        <v>36</v>
      </c>
      <c r="C11" s="9">
        <f>'Fane 11.1. Varige tillæg'!E20</f>
        <v>9770803.3313999996</v>
      </c>
      <c r="D11" s="8" t="s">
        <v>3</v>
      </c>
      <c r="E11" s="1"/>
    </row>
    <row r="12" spans="1:5" ht="17.25" customHeight="1" x14ac:dyDescent="0.25">
      <c r="A12" s="1"/>
      <c r="B12" s="65" t="s">
        <v>25</v>
      </c>
      <c r="C12" s="9">
        <f>-'Fane 14. Bortfald'!C12</f>
        <v>0</v>
      </c>
      <c r="D12" s="8" t="s">
        <v>3</v>
      </c>
      <c r="E12" s="1"/>
    </row>
    <row r="13" spans="1:5" ht="17.25" customHeight="1" x14ac:dyDescent="0.25">
      <c r="A13" s="1"/>
      <c r="B13" s="65" t="s">
        <v>24</v>
      </c>
      <c r="C13" s="9">
        <f>-'Fane 14. Bortfald'!E12</f>
        <v>0</v>
      </c>
      <c r="D13" s="8" t="s">
        <v>3</v>
      </c>
      <c r="E13" s="1"/>
    </row>
    <row r="14" spans="1:5" ht="17.25" customHeight="1" x14ac:dyDescent="0.25">
      <c r="A14" s="1"/>
      <c r="B14" s="65" t="s">
        <v>63</v>
      </c>
      <c r="C14" s="9">
        <f>'Fane 13. Tilknyttet virksomhed'!C12</f>
        <v>0</v>
      </c>
      <c r="D14" s="8" t="s">
        <v>3</v>
      </c>
      <c r="E14" s="1"/>
    </row>
    <row r="15" spans="1:5" ht="17.25" customHeight="1" x14ac:dyDescent="0.25">
      <c r="A15" s="1"/>
      <c r="B15" s="65" t="s">
        <v>64</v>
      </c>
      <c r="C15" s="9">
        <f>'Fane 13. Tilknyttet virksomhed'!E12</f>
        <v>0</v>
      </c>
      <c r="D15" s="8" t="s">
        <v>3</v>
      </c>
      <c r="E15" s="1"/>
    </row>
    <row r="16" spans="1:5" ht="17.25" customHeight="1" x14ac:dyDescent="0.25">
      <c r="A16" s="1"/>
      <c r="B16" s="65" t="s">
        <v>19</v>
      </c>
      <c r="C16" s="38">
        <f>SUM(C9)*'Fane 15. Nøgletal'!C9+SUM(C10:C11,C14:C15)*'Fane 15. Nøgletal'!C10</f>
        <v>5689107.9266838245</v>
      </c>
      <c r="D16" s="8" t="s">
        <v>3</v>
      </c>
      <c r="E16" s="1"/>
    </row>
    <row r="17" spans="1:5" ht="17.25" customHeight="1" x14ac:dyDescent="0.25">
      <c r="A17" s="1"/>
      <c r="B17" s="65" t="s">
        <v>10</v>
      </c>
      <c r="C17" s="38">
        <f>-SUM(C9,C10:C16)*'Fane 5. Individuelt eff. krav'!C9</f>
        <v>0</v>
      </c>
      <c r="D17" s="8" t="s">
        <v>3</v>
      </c>
      <c r="E17" s="1"/>
    </row>
    <row r="18" spans="1:5" ht="17.25" customHeight="1" x14ac:dyDescent="0.25">
      <c r="A18" s="1"/>
      <c r="B18" s="65" t="s">
        <v>22</v>
      </c>
      <c r="C18" s="38">
        <f>-'Fane 4.1. Gen. krav - drift'!C17</f>
        <v>-485105.45788431267</v>
      </c>
      <c r="D18" s="8" t="s">
        <v>3</v>
      </c>
      <c r="E18" s="1"/>
    </row>
    <row r="19" spans="1:5" ht="17.25" customHeight="1" x14ac:dyDescent="0.25">
      <c r="A19" s="1"/>
      <c r="B19" s="65" t="s">
        <v>23</v>
      </c>
      <c r="C19" s="38">
        <f>-'Fane 4.2. Gen. krav - anlæg'!C17</f>
        <v>0</v>
      </c>
      <c r="D19" s="8" t="s">
        <v>3</v>
      </c>
      <c r="E19" s="43"/>
    </row>
    <row r="20" spans="1:5" ht="17.25" customHeight="1" x14ac:dyDescent="0.25">
      <c r="A20" s="1"/>
      <c r="B20" s="83" t="s">
        <v>21</v>
      </c>
      <c r="C20" s="10">
        <f>SUM(C9:C19)</f>
        <v>77369158.408918634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omk.'!C20+'Fane 6. Ikke-påvirkelige omk.'!C24+'Fane 6. Ikke-påvirkelige omk.'!C32</f>
        <v>16736755.340693571</v>
      </c>
      <c r="D22" s="11" t="s">
        <v>3</v>
      </c>
      <c r="E22" s="1"/>
    </row>
    <row r="23" spans="1:5" ht="15" customHeight="1" x14ac:dyDescent="0.25">
      <c r="A23" s="1"/>
      <c r="B23" s="33" t="s">
        <v>43</v>
      </c>
      <c r="C23" s="28"/>
      <c r="D23" s="19"/>
      <c r="E23" s="1"/>
    </row>
    <row r="24" spans="1:5" ht="15" customHeight="1" x14ac:dyDescent="0.25">
      <c r="A24" s="1"/>
      <c r="B24" s="83" t="s">
        <v>43</v>
      </c>
      <c r="C24" s="10">
        <f>'Fane 12. Periodevise driftsomk.'!C12</f>
        <v>0</v>
      </c>
      <c r="D24" s="11" t="s">
        <v>3</v>
      </c>
      <c r="E24" s="1"/>
    </row>
    <row r="25" spans="1:5" ht="15" customHeight="1" x14ac:dyDescent="0.25">
      <c r="A25" s="1"/>
      <c r="B25" s="41" t="s">
        <v>42</v>
      </c>
      <c r="C25" s="39"/>
      <c r="D25" s="40"/>
      <c r="E25" s="1"/>
    </row>
    <row r="26" spans="1:5" ht="15" customHeight="1" x14ac:dyDescent="0.25">
      <c r="A26" s="1"/>
      <c r="B26" s="65" t="s">
        <v>90</v>
      </c>
      <c r="C26" s="38">
        <f>'Fane 11.2. Engangstillæg'!C14</f>
        <v>4551.3937470700002</v>
      </c>
      <c r="D26" s="8" t="s">
        <v>3</v>
      </c>
      <c r="E26" s="1"/>
    </row>
    <row r="27" spans="1:5" ht="15" customHeight="1" x14ac:dyDescent="0.25">
      <c r="A27" s="1"/>
      <c r="B27" s="65" t="s">
        <v>39</v>
      </c>
      <c r="C27" s="38">
        <f>'Fane 11.2. Engangstillæg'!E14</f>
        <v>303154.88683332002</v>
      </c>
      <c r="D27" s="8" t="s">
        <v>3</v>
      </c>
      <c r="E27" s="1"/>
    </row>
    <row r="28" spans="1:5" ht="15" customHeight="1" x14ac:dyDescent="0.25">
      <c r="A28" s="1"/>
      <c r="B28" s="65" t="s">
        <v>93</v>
      </c>
      <c r="C28" s="38">
        <f>-C26*('Fane 15. Nøgletal'!C21+'Fane 5. Individuelt eff. krav'!C9)</f>
        <v>-91.0278749414</v>
      </c>
      <c r="D28" s="8" t="s">
        <v>3</v>
      </c>
      <c r="E28" s="1"/>
    </row>
    <row r="29" spans="1:5" ht="15" customHeight="1" x14ac:dyDescent="0.25">
      <c r="A29" s="1"/>
      <c r="B29" s="65" t="s">
        <v>94</v>
      </c>
      <c r="C29" s="38">
        <f>-C27*('Fane 15. Nøgletal'!C16+'Fane 5. Individuelt eff. krav'!C9)</f>
        <v>0</v>
      </c>
      <c r="D29" s="8" t="s">
        <v>3</v>
      </c>
      <c r="E29" s="1"/>
    </row>
    <row r="30" spans="1:5" ht="15" customHeight="1" x14ac:dyDescent="0.25">
      <c r="A30" s="1"/>
      <c r="B30" s="68" t="s">
        <v>44</v>
      </c>
      <c r="C30" s="10">
        <f>SUM(C26:C29)</f>
        <v>307615.2527054486</v>
      </c>
      <c r="D30" s="11" t="s">
        <v>3</v>
      </c>
      <c r="E30" s="1"/>
    </row>
    <row r="31" spans="1:5" x14ac:dyDescent="0.25">
      <c r="A31" s="1"/>
      <c r="B31" s="33" t="s">
        <v>70</v>
      </c>
      <c r="C31" s="28"/>
      <c r="D31" s="19"/>
      <c r="E31" s="1"/>
    </row>
    <row r="32" spans="1:5" x14ac:dyDescent="0.25">
      <c r="A32" s="1"/>
      <c r="B32" s="31" t="s">
        <v>80</v>
      </c>
      <c r="C32" s="62">
        <f>'Fane 7. Kontrol af ØR2023'!C27</f>
        <v>176230.5</v>
      </c>
      <c r="D32" s="11" t="s">
        <v>3</v>
      </c>
      <c r="E32" s="1"/>
    </row>
    <row r="33" spans="1:5" ht="15" customHeight="1" x14ac:dyDescent="0.25">
      <c r="A33" s="1"/>
      <c r="B33" s="33" t="s">
        <v>155</v>
      </c>
      <c r="C33" s="28"/>
      <c r="D33" s="19"/>
      <c r="E33" s="1"/>
    </row>
    <row r="34" spans="1:5" x14ac:dyDescent="0.25">
      <c r="A34" s="1"/>
      <c r="B34" s="31" t="s">
        <v>155</v>
      </c>
      <c r="C34" s="10">
        <f>'Fane 9. Korrektion af ØR2023'!C16</f>
        <v>8317</v>
      </c>
      <c r="D34" s="11" t="s">
        <v>3</v>
      </c>
      <c r="E34" s="1"/>
    </row>
    <row r="35" spans="1:5" x14ac:dyDescent="0.25">
      <c r="A35" s="1"/>
      <c r="B35" s="30" t="s">
        <v>76</v>
      </c>
      <c r="C35" s="28"/>
      <c r="D35" s="19"/>
      <c r="E35" s="1"/>
    </row>
    <row r="36" spans="1:5" x14ac:dyDescent="0.25">
      <c r="A36" s="1"/>
      <c r="B36" s="68" t="s">
        <v>77</v>
      </c>
      <c r="C36" s="10">
        <f>'Fane 8. Skattesagen'!C14</f>
        <v>0</v>
      </c>
      <c r="D36" s="11" t="s">
        <v>3</v>
      </c>
      <c r="E36" s="1"/>
    </row>
    <row r="37" spans="1:5" x14ac:dyDescent="0.25">
      <c r="A37" s="1"/>
      <c r="B37" s="33" t="s">
        <v>72</v>
      </c>
      <c r="C37" s="45">
        <f>SUM(C34,C32,C24,C30,C22,C20,C36)</f>
        <v>94598076.502317652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ZwJg3gm1aLE0zPEDAUCEFanXgtv575/oD/moSlb4PFRmDalKO87NJe1MIf81c+CMXgGgjaQygM+ZTyxbpBUhg==" saltValue="bj9qCdPyc5VbJcrlv6dQ8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11" t="s">
        <v>120</v>
      </c>
      <c r="C3" s="111"/>
      <c r="D3" s="1"/>
    </row>
    <row r="4" spans="1:4" ht="15" customHeight="1" x14ac:dyDescent="0.25">
      <c r="A4" s="1"/>
      <c r="B4" s="111"/>
      <c r="C4" s="111"/>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123</v>
      </c>
      <c r="C9" s="61">
        <v>8.0799999999999997E-2</v>
      </c>
      <c r="D9" s="1"/>
    </row>
    <row r="10" spans="1:4" x14ac:dyDescent="0.25">
      <c r="A10" s="1"/>
      <c r="B10" s="59" t="s">
        <v>228</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51</v>
      </c>
      <c r="C14" s="19"/>
      <c r="D14" s="1"/>
    </row>
    <row r="15" spans="1:4" x14ac:dyDescent="0.25">
      <c r="A15" s="1"/>
      <c r="B15" s="59" t="s">
        <v>215</v>
      </c>
      <c r="C15" s="60">
        <v>0</v>
      </c>
      <c r="D15" s="1"/>
    </row>
    <row r="16" spans="1:4" x14ac:dyDescent="0.25">
      <c r="A16" s="1"/>
      <c r="B16" s="59" t="s">
        <v>229</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52</v>
      </c>
      <c r="C20" s="19"/>
      <c r="D20" s="1"/>
    </row>
    <row r="21" spans="1:4" x14ac:dyDescent="0.25">
      <c r="A21" s="1"/>
      <c r="B21" s="37" t="s">
        <v>60</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mIqSTvEdJoeWTx2MfZXiqry7+UBoKwbUfQeeLurd2fmXlFdL3K+QoN3eTkjdk9+LREo5zNCgnJfKNRIXqG4O2A==" saltValue="RIPOpBGV4TJb1WB0Fg6T/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81</v>
      </c>
      <c r="C9" s="7">
        <f>'Fane 2.1. Økonomisk ramme 2025'!C20</f>
        <v>77369158.408918634</v>
      </c>
      <c r="D9" s="8" t="s">
        <v>3</v>
      </c>
      <c r="E9" s="1"/>
    </row>
    <row r="10" spans="1:5" ht="15" customHeight="1" x14ac:dyDescent="0.25">
      <c r="A10" s="1"/>
      <c r="B10" s="26" t="s">
        <v>19</v>
      </c>
      <c r="C10" s="7">
        <f>C9*'Fane 15. Nøgletal'!C10</f>
        <v>5129575.202511305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-506922.59074720176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81991811.020682737</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Nøgletal'!C10)+'Fane 6. Ikke-påvirkelige omk.'!C25+'Fane 6. Ikke-påvirkelige omk.'!C33</f>
        <v>17812758.549981553</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driftsomk.'!C18</f>
        <v>0</v>
      </c>
      <c r="D18" s="11" t="s">
        <v>3</v>
      </c>
      <c r="E18" s="1"/>
    </row>
    <row r="19" spans="1:5"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Skattesagen'!C15</f>
        <v>0</v>
      </c>
      <c r="D22" s="11" t="s">
        <v>3</v>
      </c>
      <c r="E22" s="1"/>
    </row>
    <row r="23" spans="1:5" x14ac:dyDescent="0.25">
      <c r="A23" s="1"/>
      <c r="B23" s="33" t="s">
        <v>82</v>
      </c>
      <c r="C23" s="12">
        <f>SUM(C14,C16,C18,C20,C22)</f>
        <v>99804569.570664287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GdB+pYzkE0a5xvrMhzSGOKUIXFeOjp1nTyS3ztgBHgB/+GPdaWFkFhlkt/nuDKR3ajur7JyER1sifG6YUmiWQ==" saltValue="ETLelYdcI2yzTpbaRgU2I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130</v>
      </c>
      <c r="C9" s="7">
        <f>'Fane 2.2. Økonomisk ramme 2026'!C14</f>
        <v>81991811.020682737</v>
      </c>
      <c r="D9" s="8" t="s">
        <v>3</v>
      </c>
      <c r="E9" s="1"/>
    </row>
    <row r="10" spans="1:5" ht="15" customHeight="1" x14ac:dyDescent="0.25">
      <c r="A10" s="1"/>
      <c r="B10" s="26" t="s">
        <v>19</v>
      </c>
      <c r="C10" s="7">
        <f>SUM(C9:C9)*'Fane 15. Nøgletal'!C10</f>
        <v>5436057.070671265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-529720.92734346644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86898147.164010525</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Nøgletal'!C10)^2+'Fane 6. Ikke-påvirkelige omk.'!C26+'Fane 6. Ikke-påvirkelige omk.'!C34</f>
        <v>18743271.772045333</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driftsomk.'!C24</f>
        <v>0</v>
      </c>
      <c r="D18" s="11" t="s">
        <v>3</v>
      </c>
      <c r="E18" s="1"/>
    </row>
    <row r="19" spans="1:5" ht="15" customHeight="1" x14ac:dyDescent="0.25">
      <c r="A19" s="1"/>
      <c r="B19" s="33" t="s">
        <v>70</v>
      </c>
      <c r="C19" s="28"/>
      <c r="D19" s="19"/>
      <c r="E19" s="1"/>
    </row>
    <row r="20" spans="1:5" ht="15" customHeight="1" x14ac:dyDescent="0.25">
      <c r="A20" s="1"/>
      <c r="B20" s="31" t="s">
        <v>80</v>
      </c>
      <c r="C20" s="10">
        <f>'Fane 7. Kontrol af ØR2023'!C33</f>
        <v>0</v>
      </c>
      <c r="D20" s="11" t="s">
        <v>3</v>
      </c>
      <c r="E20" s="1"/>
    </row>
    <row r="21" spans="1:5" x14ac:dyDescent="0.25">
      <c r="A21" s="1"/>
      <c r="B21" s="30" t="s">
        <v>76</v>
      </c>
      <c r="C21" s="28"/>
      <c r="D21" s="19"/>
      <c r="E21" s="1"/>
    </row>
    <row r="22" spans="1:5" x14ac:dyDescent="0.25">
      <c r="A22" s="1"/>
      <c r="B22" s="68" t="s">
        <v>77</v>
      </c>
      <c r="C22" s="10">
        <f>'Fane 8. Skattesagen'!C16</f>
        <v>0</v>
      </c>
      <c r="D22" s="11" t="s">
        <v>3</v>
      </c>
      <c r="E22" s="1"/>
    </row>
    <row r="23" spans="1:5" x14ac:dyDescent="0.25">
      <c r="A23" s="1"/>
      <c r="B23" s="33" t="s">
        <v>131</v>
      </c>
      <c r="C23" s="12">
        <f>SUM(C14,C16,C18,C20,C22)</f>
        <v>105641418.93605585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5izcCM1sLri4wZYNRaj9ju3TVY0tTiXlICY0Ox0LGyO8+IDN2J9DmGwOjlTwPK50JVGM5A7s6o7vTChdl2mfA==" saltValue="yN7HkMtxhHbHeElGgXbhJ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159</v>
      </c>
      <c r="C3" s="105"/>
      <c r="D3" s="105"/>
      <c r="E3" s="1"/>
    </row>
    <row r="4" spans="1:5" ht="15" customHeight="1" x14ac:dyDescent="0.25">
      <c r="A4" s="1"/>
      <c r="B4" s="105"/>
      <c r="C4" s="105"/>
      <c r="D4" s="105"/>
      <c r="E4" s="1"/>
    </row>
    <row r="5" spans="1:5" x14ac:dyDescent="0.25">
      <c r="A5" s="1"/>
      <c r="B5" s="106" t="s">
        <v>145</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160</v>
      </c>
      <c r="C9" s="7">
        <f>'Fane 2.3. Økonomisk ramme 2027'!C14</f>
        <v>86898147.164010525</v>
      </c>
      <c r="D9" s="8" t="s">
        <v>3</v>
      </c>
      <c r="E9" s="1"/>
    </row>
    <row r="10" spans="1:5" ht="15" customHeight="1" x14ac:dyDescent="0.25">
      <c r="A10" s="1"/>
      <c r="B10" s="26" t="s">
        <v>19</v>
      </c>
      <c r="C10" s="7">
        <f>SUM(C9:C9)*'Fane 15. Nøgletal'!C10</f>
        <v>5761347.1569738975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-553544.59632981149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92105949.724654615</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Nøgletal'!C10)^3+'Fane 6. Ikke-påvirkelige omk.'!C27+'Fane 6. Ikke-påvirkelige omk.'!C35</f>
        <v>19966682.78343194</v>
      </c>
      <c r="D16" s="11" t="s">
        <v>3</v>
      </c>
      <c r="E16" s="1"/>
    </row>
    <row r="17" spans="1:5" ht="15" customHeight="1" x14ac:dyDescent="0.25">
      <c r="A17" s="1"/>
      <c r="B17" s="33" t="s">
        <v>43</v>
      </c>
      <c r="C17" s="28"/>
      <c r="D17" s="19"/>
      <c r="E17" s="1"/>
    </row>
    <row r="18" spans="1:5" ht="15" customHeight="1" x14ac:dyDescent="0.25">
      <c r="A18" s="1"/>
      <c r="B18" s="83" t="s">
        <v>43</v>
      </c>
      <c r="C18" s="10">
        <f>'Fane 12. Periodevise driftsomk.'!C30</f>
        <v>0</v>
      </c>
      <c r="D18" s="11" t="s">
        <v>3</v>
      </c>
      <c r="E18" s="1"/>
    </row>
    <row r="19" spans="1:5" x14ac:dyDescent="0.25">
      <c r="A19" s="1"/>
      <c r="B19" s="30" t="s">
        <v>76</v>
      </c>
      <c r="C19" s="28"/>
      <c r="D19" s="19"/>
      <c r="E19" s="1"/>
    </row>
    <row r="20" spans="1:5" x14ac:dyDescent="0.25">
      <c r="A20" s="1"/>
      <c r="B20" s="68" t="s">
        <v>77</v>
      </c>
      <c r="C20" s="10">
        <f>'Fane 8. Skattesagen'!C17</f>
        <v>0</v>
      </c>
      <c r="D20" s="11" t="s">
        <v>3</v>
      </c>
      <c r="E20" s="1"/>
    </row>
    <row r="21" spans="1:5" x14ac:dyDescent="0.25">
      <c r="A21" s="1"/>
      <c r="B21" s="33" t="s">
        <v>161</v>
      </c>
      <c r="C21" s="12">
        <f>SUM(C14,C16,C18,C20)</f>
        <v>112072632.50808656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y4b5oR1fO0DSW2qMfqXYr/VmQOcSDapBr4ZHrTEstP+xAbya+PGEpYGioTSyS5PpENmutrfpps3UhW8jHTmlQ==" saltValue="MamlIpLq5dgqB11nf8E4c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11" t="s">
        <v>162</v>
      </c>
      <c r="C3" s="111"/>
      <c r="D3" s="111"/>
      <c r="E3" s="1"/>
    </row>
    <row r="4" spans="1:5" ht="15" customHeight="1" x14ac:dyDescent="0.25">
      <c r="A4" s="1"/>
      <c r="B4" s="111"/>
      <c r="C4" s="111"/>
      <c r="D4" s="111"/>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163</v>
      </c>
      <c r="C8" s="28"/>
      <c r="D8" s="19"/>
      <c r="E8" s="1"/>
    </row>
    <row r="9" spans="1:5" ht="15" customHeight="1" x14ac:dyDescent="0.25">
      <c r="A9" s="1"/>
      <c r="B9" s="29" t="s">
        <v>65</v>
      </c>
      <c r="C9" s="7">
        <v>57738375.51922404</v>
      </c>
      <c r="D9" s="8" t="s">
        <v>3</v>
      </c>
      <c r="E9" s="1"/>
    </row>
    <row r="10" spans="1:5" ht="15" customHeight="1" x14ac:dyDescent="0.25">
      <c r="A10" s="1"/>
      <c r="B10" s="65" t="s">
        <v>35</v>
      </c>
      <c r="C10" s="63">
        <v>0</v>
      </c>
      <c r="D10" s="8" t="s">
        <v>3</v>
      </c>
      <c r="E10" s="1"/>
    </row>
    <row r="11" spans="1:5" ht="15" customHeight="1" x14ac:dyDescent="0.25">
      <c r="A11" s="1"/>
      <c r="B11" s="65" t="s">
        <v>36</v>
      </c>
      <c r="C11" s="63">
        <v>404753.1152</v>
      </c>
      <c r="D11" s="8" t="s">
        <v>3</v>
      </c>
      <c r="E11" s="1"/>
    </row>
    <row r="12" spans="1:5" ht="15" customHeight="1" x14ac:dyDescent="0.25">
      <c r="A12" s="1"/>
      <c r="B12" s="65" t="s">
        <v>25</v>
      </c>
      <c r="C12" s="9">
        <v>0</v>
      </c>
      <c r="D12" s="8" t="s">
        <v>3</v>
      </c>
      <c r="E12" s="1"/>
    </row>
    <row r="13" spans="1:5" ht="15" customHeight="1" x14ac:dyDescent="0.25">
      <c r="A13" s="1"/>
      <c r="B13" s="65" t="s">
        <v>24</v>
      </c>
      <c r="C13" s="9">
        <v>0</v>
      </c>
      <c r="D13" s="8" t="s">
        <v>3</v>
      </c>
      <c r="E13" s="1"/>
    </row>
    <row r="14" spans="1:5" ht="15" customHeight="1" x14ac:dyDescent="0.25">
      <c r="A14" s="1"/>
      <c r="B14" s="65" t="s">
        <v>63</v>
      </c>
      <c r="C14" s="9">
        <v>0</v>
      </c>
      <c r="D14" s="8" t="s">
        <v>3</v>
      </c>
      <c r="E14" s="1"/>
    </row>
    <row r="15" spans="1:5" ht="15" customHeight="1" x14ac:dyDescent="0.25">
      <c r="A15" s="1"/>
      <c r="B15" s="65" t="s">
        <v>64</v>
      </c>
      <c r="C15" s="9">
        <v>0</v>
      </c>
      <c r="D15" s="8" t="s">
        <v>3</v>
      </c>
      <c r="E15" s="1"/>
    </row>
    <row r="16" spans="1:5" ht="15" customHeight="1" x14ac:dyDescent="0.25">
      <c r="A16" s="1"/>
      <c r="B16" s="65" t="s">
        <v>19</v>
      </c>
      <c r="C16" s="9">
        <v>4697964.7936614621</v>
      </c>
      <c r="D16" s="8" t="s">
        <v>3</v>
      </c>
      <c r="E16" s="1"/>
    </row>
    <row r="17" spans="1:5" ht="15" customHeight="1" x14ac:dyDescent="0.25">
      <c r="A17" s="1"/>
      <c r="B17" s="65" t="s">
        <v>10</v>
      </c>
      <c r="C17" s="9">
        <v>0</v>
      </c>
      <c r="D17" s="8" t="s">
        <v>3</v>
      </c>
      <c r="E17" s="1"/>
    </row>
    <row r="18" spans="1:5" ht="15" customHeight="1" x14ac:dyDescent="0.25">
      <c r="A18" s="1"/>
      <c r="B18" s="65" t="s">
        <v>22</v>
      </c>
      <c r="C18" s="9">
        <v>-457777.02436638257</v>
      </c>
      <c r="D18" s="8" t="s">
        <v>3</v>
      </c>
      <c r="E18" s="43"/>
    </row>
    <row r="19" spans="1:5" ht="15" customHeight="1" x14ac:dyDescent="0.25">
      <c r="A19" s="1"/>
      <c r="B19" s="65" t="s">
        <v>23</v>
      </c>
      <c r="C19" s="9">
        <v>0</v>
      </c>
      <c r="D19" s="8" t="s">
        <v>3</v>
      </c>
      <c r="E19" s="1"/>
    </row>
    <row r="20" spans="1:5" ht="15" customHeight="1" x14ac:dyDescent="0.25">
      <c r="A20" s="1"/>
      <c r="B20" s="83" t="s">
        <v>21</v>
      </c>
      <c r="C20" s="10">
        <v>62383316.403719112</v>
      </c>
      <c r="D20" s="11" t="s">
        <v>3</v>
      </c>
      <c r="E20" s="1"/>
    </row>
    <row r="21" spans="1:5" ht="15" customHeight="1" x14ac:dyDescent="0.25">
      <c r="A21" s="1"/>
      <c r="B21" s="33" t="s">
        <v>12</v>
      </c>
      <c r="C21" s="28"/>
      <c r="D21" s="19"/>
      <c r="E21" s="1"/>
    </row>
    <row r="22" spans="1:5" ht="15" customHeight="1" x14ac:dyDescent="0.25">
      <c r="A22" s="1"/>
      <c r="B22" s="31" t="s">
        <v>12</v>
      </c>
      <c r="C22" s="10">
        <v>17453621.347144958</v>
      </c>
      <c r="D22" s="11" t="s">
        <v>3</v>
      </c>
      <c r="E22" s="1"/>
    </row>
    <row r="23" spans="1:5" ht="15" customHeight="1" x14ac:dyDescent="0.25">
      <c r="A23" s="1"/>
      <c r="B23" s="33" t="s">
        <v>43</v>
      </c>
      <c r="C23" s="28"/>
      <c r="D23" s="19"/>
      <c r="E23" s="1"/>
    </row>
    <row r="24" spans="1:5" ht="15" customHeight="1" x14ac:dyDescent="0.25">
      <c r="A24" s="1"/>
      <c r="B24" s="83" t="s">
        <v>43</v>
      </c>
      <c r="C24" s="10">
        <v>0</v>
      </c>
      <c r="D24" s="11" t="s">
        <v>3</v>
      </c>
      <c r="E24" s="1"/>
    </row>
    <row r="25" spans="1:5" x14ac:dyDescent="0.25">
      <c r="A25" s="1"/>
      <c r="B25" s="33" t="s">
        <v>42</v>
      </c>
      <c r="C25" s="28"/>
      <c r="D25" s="19"/>
      <c r="E25" s="1"/>
    </row>
    <row r="26" spans="1:5" ht="15" customHeight="1" x14ac:dyDescent="0.25">
      <c r="A26" s="1"/>
      <c r="B26" s="65" t="s">
        <v>38</v>
      </c>
      <c r="C26" s="9">
        <v>1652382.2083552</v>
      </c>
      <c r="D26" s="8" t="s">
        <v>3</v>
      </c>
      <c r="E26" s="1"/>
    </row>
    <row r="27" spans="1:5" ht="15" customHeight="1" x14ac:dyDescent="0.25">
      <c r="A27" s="1"/>
      <c r="B27" s="65" t="s">
        <v>39</v>
      </c>
      <c r="C27" s="9">
        <v>37870.742190086399</v>
      </c>
      <c r="D27" s="8" t="s">
        <v>3</v>
      </c>
      <c r="E27" s="1"/>
    </row>
    <row r="28" spans="1:5" ht="15" customHeight="1" x14ac:dyDescent="0.25">
      <c r="A28" s="1"/>
      <c r="B28" s="65" t="s">
        <v>225</v>
      </c>
      <c r="C28" s="9">
        <v>-33047.644167104001</v>
      </c>
      <c r="D28" s="8" t="s">
        <v>3</v>
      </c>
      <c r="E28" s="1"/>
    </row>
    <row r="29" spans="1:5" ht="15" customHeight="1" x14ac:dyDescent="0.25">
      <c r="A29" s="1"/>
      <c r="B29" s="72" t="s">
        <v>226</v>
      </c>
      <c r="C29" s="9">
        <v>0</v>
      </c>
      <c r="D29" s="8" t="s">
        <v>3</v>
      </c>
      <c r="E29" s="1"/>
    </row>
    <row r="30" spans="1:5" ht="15" customHeight="1" x14ac:dyDescent="0.25">
      <c r="A30" s="1"/>
      <c r="B30" s="83" t="s">
        <v>44</v>
      </c>
      <c r="C30" s="10">
        <v>1657205.3063781823</v>
      </c>
      <c r="D30" s="11" t="s">
        <v>3</v>
      </c>
      <c r="E30" s="1"/>
    </row>
    <row r="31" spans="1:5" ht="15" customHeight="1" x14ac:dyDescent="0.25">
      <c r="A31" s="1"/>
      <c r="B31" s="33" t="s">
        <v>129</v>
      </c>
      <c r="C31" s="28"/>
      <c r="D31" s="19"/>
      <c r="E31" s="1"/>
    </row>
    <row r="32" spans="1:5" ht="15" customHeight="1" x14ac:dyDescent="0.25">
      <c r="A32" s="1"/>
      <c r="B32" s="31" t="s">
        <v>129</v>
      </c>
      <c r="C32" s="10">
        <v>11517</v>
      </c>
      <c r="D32" s="11" t="s">
        <v>3</v>
      </c>
      <c r="E32" s="1"/>
    </row>
    <row r="33" spans="1:5" x14ac:dyDescent="0.25">
      <c r="A33" s="1"/>
      <c r="B33" s="33" t="s">
        <v>70</v>
      </c>
      <c r="C33" s="28"/>
      <c r="D33" s="19"/>
      <c r="E33" s="1"/>
    </row>
    <row r="34" spans="1:5" ht="15.4" customHeight="1" x14ac:dyDescent="0.25">
      <c r="A34" s="1"/>
      <c r="B34" s="31" t="s">
        <v>80</v>
      </c>
      <c r="C34" s="10">
        <v>-176230.5</v>
      </c>
      <c r="D34" s="11" t="s">
        <v>3</v>
      </c>
      <c r="E34" s="1"/>
    </row>
    <row r="35" spans="1:5" ht="15.4" customHeight="1" x14ac:dyDescent="0.25">
      <c r="A35" s="1"/>
      <c r="B35" s="108" t="s">
        <v>76</v>
      </c>
      <c r="C35" s="109"/>
      <c r="D35" s="110"/>
      <c r="E35" s="1"/>
    </row>
    <row r="36" spans="1:5" x14ac:dyDescent="0.25">
      <c r="A36" s="1"/>
      <c r="B36" s="68" t="s">
        <v>77</v>
      </c>
      <c r="C36" s="10">
        <v>0</v>
      </c>
      <c r="D36" s="11" t="s">
        <v>3</v>
      </c>
      <c r="E36" s="1"/>
    </row>
    <row r="37" spans="1:5" x14ac:dyDescent="0.25">
      <c r="A37" s="1"/>
      <c r="B37" s="30" t="s">
        <v>213</v>
      </c>
      <c r="C37" s="28"/>
      <c r="D37" s="19"/>
      <c r="E37" s="1"/>
    </row>
    <row r="38" spans="1:5" x14ac:dyDescent="0.25">
      <c r="A38" s="1"/>
      <c r="B38" s="68" t="s">
        <v>214</v>
      </c>
      <c r="C38" s="10">
        <v>773662.3119401799</v>
      </c>
      <c r="D38" s="11" t="s">
        <v>3</v>
      </c>
      <c r="E38" s="1"/>
    </row>
    <row r="39" spans="1:5" x14ac:dyDescent="0.25">
      <c r="A39" s="1"/>
      <c r="B39" s="33" t="s">
        <v>66</v>
      </c>
      <c r="C39" s="12">
        <v>82103091.869182438</v>
      </c>
      <c r="D39" s="13" t="s">
        <v>3</v>
      </c>
      <c r="E39" s="1"/>
    </row>
    <row r="40" spans="1:5" ht="30" customHeight="1" x14ac:dyDescent="0.25">
      <c r="A40" s="1"/>
      <c r="B40" s="107" t="s">
        <v>227</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44"/>
      <c r="B48" s="44"/>
      <c r="C48" s="44"/>
      <c r="D48" s="44"/>
      <c r="E48" s="44"/>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NkIvLuJGSEC8kWTmFWOhpCy8VlSAuzuByfl5YIelLWYAFfOcv49Sz0TVoPb5WWAmwSwAfjuFrw/bG3VpMmxUbg==" saltValue="JD4Naac7JNqlbnA9zRGikA==" spinCount="100000" sheet="1" objects="1" scenarios="1"/>
  <mergeCells count="3">
    <mergeCell ref="B40:D40"/>
    <mergeCell ref="B35:D35"/>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25">
      <c r="A6" s="1"/>
      <c r="B6" s="76"/>
      <c r="C6" s="76"/>
      <c r="D6" s="76"/>
      <c r="E6" s="1"/>
    </row>
    <row r="7" spans="1:5" x14ac:dyDescent="0.25">
      <c r="A7" s="1"/>
      <c r="B7" s="1"/>
      <c r="C7" s="1"/>
      <c r="D7" s="1"/>
      <c r="E7" s="1"/>
    </row>
    <row r="8" spans="1:5" x14ac:dyDescent="0.25">
      <c r="A8" s="1"/>
      <c r="B8" s="112" t="s">
        <v>124</v>
      </c>
      <c r="C8" s="113"/>
      <c r="D8" s="114"/>
      <c r="E8" s="1"/>
    </row>
    <row r="9" spans="1:5" x14ac:dyDescent="0.25">
      <c r="A9" s="1"/>
      <c r="B9" s="66" t="s">
        <v>89</v>
      </c>
      <c r="C9" s="23">
        <v>22888851.218319133</v>
      </c>
      <c r="D9" s="14" t="s">
        <v>3</v>
      </c>
      <c r="E9" s="1"/>
    </row>
    <row r="10" spans="1:5" x14ac:dyDescent="0.25">
      <c r="A10" s="1"/>
      <c r="B10" s="66" t="s">
        <v>126</v>
      </c>
      <c r="C10" s="23">
        <f>('Fane 3. Omkostninger i ØR2024'!C10+'Fane 3. Omkostninger i ØR2024'!C12+'Fane 3. Omkostninger i ØR2024'!C14)*(1+'Fane 15. Nøgletal'!C9)</f>
        <v>0</v>
      </c>
      <c r="D10" s="14" t="s">
        <v>3</v>
      </c>
      <c r="E10" s="1"/>
    </row>
    <row r="11" spans="1:5" x14ac:dyDescent="0.25">
      <c r="A11" s="1"/>
      <c r="B11" s="66" t="s">
        <v>132</v>
      </c>
      <c r="C11" s="23">
        <f>C9*'Fane 15. Nøgletal'!C21+C10*'Fane 15. Nøgletal'!C21</f>
        <v>457777.02436638268</v>
      </c>
      <c r="D11" s="14" t="s">
        <v>3</v>
      </c>
      <c r="E11" s="1"/>
    </row>
    <row r="12" spans="1:5" x14ac:dyDescent="0.25">
      <c r="A12" s="1"/>
      <c r="B12" s="33"/>
      <c r="C12" s="28"/>
      <c r="D12" s="19"/>
      <c r="E12" s="1"/>
    </row>
    <row r="13" spans="1:5" x14ac:dyDescent="0.25">
      <c r="A13" s="1"/>
      <c r="B13" s="1"/>
      <c r="C13" s="1"/>
      <c r="D13" s="1"/>
      <c r="E13" s="1"/>
    </row>
    <row r="14" spans="1:5" x14ac:dyDescent="0.25">
      <c r="A14" s="1"/>
      <c r="B14" s="112" t="s">
        <v>125</v>
      </c>
      <c r="C14" s="113"/>
      <c r="D14" s="114"/>
      <c r="E14" s="1"/>
    </row>
    <row r="15" spans="1:5" x14ac:dyDescent="0.25">
      <c r="A15" s="1"/>
      <c r="B15" s="66" t="s">
        <v>134</v>
      </c>
      <c r="C15" s="23">
        <f>(C9+C10-C11)*(1+'Fane 15. Nøgletal'!C9)</f>
        <v>24243504.988824133</v>
      </c>
      <c r="D15" s="14" t="s">
        <v>3</v>
      </c>
      <c r="E15" s="1"/>
    </row>
    <row r="16" spans="1:5" x14ac:dyDescent="0.25">
      <c r="A16" s="1"/>
      <c r="B16" s="66" t="s">
        <v>184</v>
      </c>
      <c r="C16" s="23">
        <f>('Fane 2.1. Økonomisk ramme 2025'!C10+'Fane 2.1. Økonomisk ramme 2025'!C12+'Fane 2.1. Økonomisk ramme 2025'!C14)*(1+'Fane 15. Nøgletal'!C10)</f>
        <v>11767.9053915</v>
      </c>
      <c r="D16" s="14" t="s">
        <v>3</v>
      </c>
      <c r="E16" s="1"/>
    </row>
    <row r="17" spans="1:5" x14ac:dyDescent="0.25">
      <c r="A17" s="1"/>
      <c r="B17" s="66" t="s">
        <v>133</v>
      </c>
      <c r="C17" s="23">
        <f>C15*'Fane 15. Nøgletal'!C21+C16*'Fane 15. Nøgletal'!C21</f>
        <v>485105.45788431267</v>
      </c>
      <c r="D17" s="14" t="s">
        <v>3</v>
      </c>
      <c r="E17" s="1"/>
    </row>
    <row r="18" spans="1:5" x14ac:dyDescent="0.25">
      <c r="A18" s="1"/>
      <c r="B18" s="33"/>
      <c r="C18" s="28"/>
      <c r="D18" s="19"/>
      <c r="E18" s="1"/>
    </row>
    <row r="19" spans="1:5" x14ac:dyDescent="0.25">
      <c r="A19" s="1"/>
      <c r="B19" s="1"/>
      <c r="C19" s="64"/>
      <c r="D19" s="1"/>
      <c r="E19" s="1"/>
    </row>
    <row r="20" spans="1:5" x14ac:dyDescent="0.25">
      <c r="A20" s="1"/>
      <c r="B20" s="112" t="s">
        <v>146</v>
      </c>
      <c r="C20" s="113"/>
      <c r="D20" s="114"/>
      <c r="E20" s="1"/>
    </row>
    <row r="21" spans="1:5" x14ac:dyDescent="0.25">
      <c r="A21" s="1"/>
      <c r="B21" s="66" t="s">
        <v>189</v>
      </c>
      <c r="C21" s="23">
        <f>(C15+C16-C17)*(1+'Fane 15. Nøgletal'!C10)</f>
        <v>25346129.537360087</v>
      </c>
      <c r="D21" s="14" t="s">
        <v>3</v>
      </c>
      <c r="E21" s="1"/>
    </row>
    <row r="22" spans="1:5" x14ac:dyDescent="0.25">
      <c r="A22" s="1"/>
      <c r="B22" s="66" t="s">
        <v>196</v>
      </c>
      <c r="C22" s="23">
        <f>C21*'Fane 15. Nøgletal'!C21</f>
        <v>506922.59074720176</v>
      </c>
      <c r="D22" s="14" t="s">
        <v>3</v>
      </c>
      <c r="E22" s="1"/>
    </row>
    <row r="23" spans="1:5" x14ac:dyDescent="0.25">
      <c r="A23" s="1"/>
      <c r="B23" s="33"/>
      <c r="C23" s="28"/>
      <c r="D23" s="19"/>
      <c r="E23" s="1"/>
    </row>
    <row r="24" spans="1:5" x14ac:dyDescent="0.25">
      <c r="A24" s="1"/>
      <c r="B24" s="1"/>
      <c r="C24" s="1"/>
      <c r="D24" s="1"/>
      <c r="E24" s="1"/>
    </row>
    <row r="25" spans="1:5" x14ac:dyDescent="0.25">
      <c r="A25" s="1"/>
      <c r="B25" s="112" t="s">
        <v>187</v>
      </c>
      <c r="C25" s="113"/>
      <c r="D25" s="114"/>
      <c r="E25" s="1"/>
    </row>
    <row r="26" spans="1:5" x14ac:dyDescent="0.25">
      <c r="A26" s="1"/>
      <c r="B26" s="66" t="s">
        <v>190</v>
      </c>
      <c r="C26" s="23">
        <f>(C21-C22)*(1+'Fane 15. Nøgletal'!C10)</f>
        <v>26486046.367173322</v>
      </c>
      <c r="D26" s="14" t="s">
        <v>3</v>
      </c>
      <c r="E26" s="1"/>
    </row>
    <row r="27" spans="1:5" x14ac:dyDescent="0.25">
      <c r="A27" s="1"/>
      <c r="B27" s="66" t="s">
        <v>194</v>
      </c>
      <c r="C27" s="23">
        <f>C26*'Fane 15. Nøgletal'!C21</f>
        <v>529720.92734346644</v>
      </c>
      <c r="D27" s="14" t="s">
        <v>3</v>
      </c>
      <c r="E27" s="1"/>
    </row>
    <row r="28" spans="1:5" x14ac:dyDescent="0.25">
      <c r="A28" s="1"/>
      <c r="B28" s="33"/>
      <c r="C28" s="28"/>
      <c r="D28" s="19"/>
      <c r="E28" s="1"/>
    </row>
    <row r="29" spans="1:5" x14ac:dyDescent="0.25">
      <c r="A29" s="1"/>
      <c r="B29" s="1"/>
      <c r="C29" s="1"/>
      <c r="D29" s="1"/>
      <c r="E29" s="1"/>
    </row>
    <row r="30" spans="1:5" x14ac:dyDescent="0.25">
      <c r="A30" s="1"/>
      <c r="B30" s="112" t="s">
        <v>188</v>
      </c>
      <c r="C30" s="113"/>
      <c r="D30" s="114"/>
      <c r="E30" s="1"/>
    </row>
    <row r="31" spans="1:5" x14ac:dyDescent="0.25">
      <c r="A31" s="1"/>
      <c r="B31" s="66" t="s">
        <v>191</v>
      </c>
      <c r="C31" s="23">
        <f>(C26-C27)*(1+'Fane 15. Nøgletal'!C10)</f>
        <v>27677229.816490576</v>
      </c>
      <c r="D31" s="14" t="s">
        <v>3</v>
      </c>
      <c r="E31" s="1"/>
    </row>
    <row r="32" spans="1:5" x14ac:dyDescent="0.25">
      <c r="A32" s="1"/>
      <c r="B32" s="66" t="s">
        <v>195</v>
      </c>
      <c r="C32" s="23">
        <f>C31*'Fane 15. Nøgletal'!C21</f>
        <v>553544.59632981149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bPQ5Xf4si0eFPOjhl2C7rJRqMBaahRGuvjtZY6AxOQUaEcKSgqf8DSxBkV943o0kqFeJjc+CEW+yea8NjdsQA==" saltValue="TDvAqddOD494WCz+Lsvro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70"/>
      <c r="C1" s="70"/>
      <c r="D1" s="70"/>
      <c r="E1" s="1"/>
    </row>
    <row r="2" spans="1:5" ht="15" customHeight="1" x14ac:dyDescent="0.35">
      <c r="A2" s="1"/>
      <c r="B2" s="70"/>
      <c r="C2" s="70"/>
      <c r="D2" s="70"/>
      <c r="E2" s="1"/>
    </row>
    <row r="3" spans="1:5" ht="15" customHeight="1" x14ac:dyDescent="0.25">
      <c r="A3" s="1"/>
      <c r="B3" s="115" t="s">
        <v>58</v>
      </c>
      <c r="C3" s="115"/>
      <c r="D3" s="115"/>
      <c r="E3" s="1"/>
    </row>
    <row r="4" spans="1:5" ht="15" customHeight="1" x14ac:dyDescent="0.25">
      <c r="A4" s="1"/>
      <c r="B4" s="115"/>
      <c r="C4" s="115"/>
      <c r="D4" s="115"/>
      <c r="E4" s="1"/>
    </row>
    <row r="5" spans="1:5" ht="15" customHeight="1" x14ac:dyDescent="0.25">
      <c r="A5" s="1"/>
      <c r="B5" s="115"/>
      <c r="C5" s="115"/>
      <c r="D5" s="115"/>
      <c r="E5" s="1"/>
    </row>
    <row r="6" spans="1:5" ht="15" customHeight="1" x14ac:dyDescent="0.35">
      <c r="A6" s="1"/>
      <c r="B6" s="70"/>
      <c r="C6" s="70"/>
      <c r="D6" s="70"/>
      <c r="E6" s="1"/>
    </row>
    <row r="7" spans="1:5" x14ac:dyDescent="0.25">
      <c r="A7" s="1"/>
      <c r="B7" s="1"/>
      <c r="C7" s="1"/>
      <c r="D7" s="1"/>
      <c r="E7" s="1"/>
    </row>
    <row r="8" spans="1:5" x14ac:dyDescent="0.25">
      <c r="A8" s="1"/>
      <c r="B8" s="112" t="s">
        <v>148</v>
      </c>
      <c r="C8" s="113"/>
      <c r="D8" s="114"/>
      <c r="E8" s="1"/>
    </row>
    <row r="9" spans="1:5" x14ac:dyDescent="0.25">
      <c r="A9" s="1"/>
      <c r="B9" s="66" t="s">
        <v>135</v>
      </c>
      <c r="C9" s="23">
        <v>39717816.45055186</v>
      </c>
      <c r="D9" s="14" t="s">
        <v>3</v>
      </c>
      <c r="E9" s="1"/>
    </row>
    <row r="10" spans="1:5" x14ac:dyDescent="0.25">
      <c r="A10" s="1"/>
      <c r="B10" s="66" t="s">
        <v>127</v>
      </c>
      <c r="C10" s="23">
        <f>('Fane 3. Omkostninger i ØR2024'!C11+'Fane 3. Omkostninger i ØR2024'!C13+'Fane 3. Omkostninger i ØR2024'!C15)*(1+'Fane 15. Nøgletal'!C9)</f>
        <v>437457.16690815997</v>
      </c>
      <c r="D10" s="14" t="s">
        <v>3</v>
      </c>
      <c r="E10" s="1"/>
    </row>
    <row r="11" spans="1:5" x14ac:dyDescent="0.25">
      <c r="A11" s="1"/>
      <c r="B11" s="66" t="s">
        <v>136</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2" t="s">
        <v>147</v>
      </c>
      <c r="C14" s="113"/>
      <c r="D14" s="114"/>
      <c r="E14" s="1"/>
    </row>
    <row r="15" spans="1:5" x14ac:dyDescent="0.25">
      <c r="A15" s="1"/>
      <c r="B15" s="66" t="s">
        <v>137</v>
      </c>
      <c r="C15" s="23">
        <f>(C9+C10-C11)*(1+'Fane 15. Nøgletal'!C9)</f>
        <v>43399819.725750789</v>
      </c>
      <c r="D15" s="14" t="s">
        <v>3</v>
      </c>
      <c r="E15" s="1"/>
    </row>
    <row r="16" spans="1:5" x14ac:dyDescent="0.25">
      <c r="A16" s="1"/>
      <c r="B16" s="66" t="s">
        <v>185</v>
      </c>
      <c r="C16" s="23">
        <f>('Fane 2.1. Økonomisk ramme 2025'!C11+'Fane 2.1. Økonomisk ramme 2025'!C13+'Fane 2.1. Økonomisk ramme 2025'!C15)*(1+'Fane 15. Nøgletal'!C10)</f>
        <v>10418607.59227182</v>
      </c>
      <c r="D16" s="14" t="s">
        <v>3</v>
      </c>
      <c r="E16" s="1"/>
    </row>
    <row r="17" spans="1:5" x14ac:dyDescent="0.25">
      <c r="A17" s="1"/>
      <c r="B17" s="66" t="s">
        <v>138</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2" t="s">
        <v>83</v>
      </c>
      <c r="C20" s="113"/>
      <c r="D20" s="114"/>
      <c r="E20" s="1"/>
    </row>
    <row r="21" spans="1:5" x14ac:dyDescent="0.25">
      <c r="A21" s="1"/>
      <c r="B21" s="66" t="s">
        <v>192</v>
      </c>
      <c r="C21" s="23">
        <f>(C15+C16-C17)*(1+'Fane 15. Nøgletal'!C10)</f>
        <v>57386589.049207509</v>
      </c>
      <c r="D21" s="14" t="s">
        <v>3</v>
      </c>
      <c r="E21" s="1"/>
    </row>
    <row r="22" spans="1:5" x14ac:dyDescent="0.25">
      <c r="A22" s="1"/>
      <c r="B22" s="66"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2" t="s">
        <v>139</v>
      </c>
      <c r="C25" s="113"/>
      <c r="D25" s="114"/>
      <c r="E25" s="1"/>
    </row>
    <row r="26" spans="1:5" x14ac:dyDescent="0.25">
      <c r="A26" s="1"/>
      <c r="B26" s="66" t="s">
        <v>193</v>
      </c>
      <c r="C26" s="23">
        <f>(C21-C22)*(1+'Fane 15. Nøgletal'!C10)</f>
        <v>61191319.903169967</v>
      </c>
      <c r="D26" s="14" t="s">
        <v>3</v>
      </c>
      <c r="E26" s="1"/>
    </row>
    <row r="27" spans="1:5" x14ac:dyDescent="0.25">
      <c r="A27" s="1"/>
      <c r="B27" s="66"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2" t="s">
        <v>164</v>
      </c>
      <c r="C30" s="113"/>
      <c r="D30" s="114"/>
      <c r="E30" s="1"/>
    </row>
    <row r="31" spans="1:5" x14ac:dyDescent="0.25">
      <c r="A31" s="1"/>
      <c r="B31" s="66" t="s">
        <v>200</v>
      </c>
      <c r="C31" s="23">
        <f>(C26-C27)*(1+'Fane 15. Nøgletal'!C10)</f>
        <v>65248304.41275014</v>
      </c>
      <c r="D31" s="14" t="s">
        <v>3</v>
      </c>
      <c r="E31" s="1"/>
    </row>
    <row r="32" spans="1:5" x14ac:dyDescent="0.25">
      <c r="A32" s="1"/>
      <c r="B32" s="66"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j4Ti0BVH/i6czxIUZXOlSajaBNL6zGl8mZL4vW6UjdB9+he8szAVRQIiQTSp8EF+HKsMjNF/mJy9PWAbsGmbg==" saltValue="x7y8ETKMKlGaYlTmOTkZK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45</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2" t="s">
        <v>10</v>
      </c>
      <c r="C8" s="114"/>
      <c r="D8" s="1"/>
    </row>
    <row r="9" spans="1:4" x14ac:dyDescent="0.25">
      <c r="A9" s="1"/>
      <c r="B9" s="66" t="s">
        <v>165</v>
      </c>
      <c r="C9" s="22">
        <v>0</v>
      </c>
      <c r="D9" s="1"/>
    </row>
    <row r="10" spans="1:4" x14ac:dyDescent="0.25">
      <c r="A10" s="1"/>
      <c r="B10" s="33"/>
      <c r="C10" s="19"/>
      <c r="D10" s="1"/>
    </row>
    <row r="11" spans="1:4" x14ac:dyDescent="0.25">
      <c r="A11" s="1"/>
      <c r="B11" s="116" t="s">
        <v>220</v>
      </c>
      <c r="C11" s="117"/>
      <c r="D11" s="1"/>
    </row>
    <row r="12" spans="1:4" x14ac:dyDescent="0.25">
      <c r="A12" s="1"/>
      <c r="B12" s="118"/>
      <c r="C12" s="119"/>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wUh/wfk342AC3r0lMGc/UkuUTBz5LB8mZL+oV6MuGMZTwsVgOecixEZOq2RJud6uYxvsBpJCsvOEMv8Fmy5LYw==" saltValue="VEDLUzBKYnWqzYrB3/mhs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2024-08-21T11:42:57Z</dcterms:modified>
</cp:coreProperties>
</file>