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TK Kloak AS (S049)\ØR2024\"/>
    </mc:Choice>
  </mc:AlternateContent>
  <xr:revisionPtr revIDLastSave="0" documentId="13_ncr:1_{2F91F559-F1A2-42C7-8212-B121A0F4ABC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20" i="15" l="1"/>
  <c r="C32" i="2"/>
  <c r="E26" i="44"/>
  <c r="E17" i="44"/>
  <c r="E16" i="44"/>
  <c r="E18" i="44" s="1"/>
  <c r="E30" i="44" l="1"/>
  <c r="E32" i="44" s="1"/>
  <c r="G20" i="30" l="1"/>
  <c r="C9" i="2" l="1"/>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<sst xmlns="http://schemas.openxmlformats.org/spreadsheetml/2006/main" count="655" uniqueCount="290">
  <si>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</si>
  <si>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</si>
  <si>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</si>
  <si>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</si>
  <si>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</si>
  <si>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</si>
  <si>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</si>
  <si>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</si>
  <si>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</si>
  <si>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</si>
  <si>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</si>
  <si>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</si>
  <si>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</si>
  <si>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</si>
  <si>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</si>
  <si>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</si>
  <si>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</si>
  <si>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</si>
  <si>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</si>
  <si>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</si>
  <si>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</si>
  <si>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</si>
  <si>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</si>
  <si>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</si>
  <si>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</si>
  <si>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</si>
  <si>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</si>
  <si>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</si>
  <si>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</si>
  <si>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</si>
  <si>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</si>
  <si>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</si>
  <si>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</si>
  <si>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</si>
  <si>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</si>
  <si>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</si>
  <si>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</si>
  <si>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</si>
  <si>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</si>
  <si>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</si>
  <si>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</si>
  <si>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</si>
  <si>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</si>
  <si>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</si>
  <si>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</si>
  <si>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</si>
  <si>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</si>
  <si>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</si>
  <si>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</si>
  <si>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</si>
  <si>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</si>
  <si>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</si>
  <si>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</si>
  <si>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</si>
  <si>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</si>
  <si>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</si>
  <si>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</si>
  <si>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</si>
  <si>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</si>
  <si>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</si>
  <si>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</si>
  <si>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</si>
  <si>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</si>
  <si>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</si>
  <si>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</si>
  <si>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</si>
  <si>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</si>
  <si>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</si>
  <si>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</si>
  <si>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</si>
  <si>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</si>
  <si>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</si>
  <si>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</si>
  <si>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</si>
  <si>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</si>
  <si>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</si>
  <si>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</si>
  <si>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</si>
  <si>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</si>
  <si>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</si>
  <si>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</si>
  <si>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</si>
  <si>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</si>
  <si>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</si>
  <si>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</si>
  <si>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</si>
  <si>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</si>
  <si>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</si>
  <si>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</si>
  <si>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</si>
  <si>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</si>
  <si>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</si>
  <si>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</si>
  <si>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</si>
  <si>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</si>
  <si>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</si>
  <si>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</si>
  <si>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</si>
  <si>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</si>
  <si>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</si>
  <si>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</si>
  <si>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</si>
  <si>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</si>
  <si>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</si>
  <si>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</si>
  <si>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</si>
  <si>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</si>
  <si>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</si>
  <si>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</si>
  <si>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</si>
  <si>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</si>
  <si>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</si>
  <si>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</si>
  <si>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</si>
  <si>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</si>
  <si>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</si>
  <si>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</si>
  <si>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</si>
  <si>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</si>
  <si>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</si>
  <si>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</si>
  <si>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</si>
  <si>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</si>
  <si>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</si>
  <si>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</si>
  <si>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</si>
  <si>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</si>
  <si>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</si>
  <si>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</si>
  <si>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</si>
  <si>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</si>
  <si>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</si>
  <si>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</si>
  <si>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</si>
  <si>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</si>
  <si>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</si>
  <si>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</si>
  <si>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</si>
  <si>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</si>
  <si>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</si>
  <si>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</si>
  <si>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</si>
  <si>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</si>
  <si>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</si>
  <si>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</si>
  <si>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</si>
  <si>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</si>
  <si>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</si>
  <si>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</si>
  <si>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</si>
  <si>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</si>
  <si>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</si>
  <si>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</si>
  <si>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</si>
  <si>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</si>
  <si>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</si>
  <si>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</si>
  <si>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</si>
  <si>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</si>
  <si>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</si>
  <si>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</si>
  <si>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</si>
  <si>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</si>
  <si>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</si>
  <si>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</si>
  <si>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</si>
  <si>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</si>
  <si>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</si>
  <si>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</si>
  <si>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</si>
  <si>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</si>
  <si>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</si>
  <si>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</si>
  <si>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</si>
  <si>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</si>
  <si>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</si>
  <si>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</si>
  <si>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</si>
  <si>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</si>
  <si>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</si>
  <si>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</si>
  <si>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</si>
  <si>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</si>
  <si>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</si>
  <si>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</si>
  <si>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</si>
  <si>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</si>
  <si>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</si>
  <si>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</si>
  <si>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</si>
  <si>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</si>
  <si>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</si>
  <si>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</si>
  <si>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</si>
  <si>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</si>
  <si>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</si>
  <si>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</si>
  <si>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</si>
  <si>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</si>
  <si>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</si>
  <si>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</si>
  <si>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</si>
  <si>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</si>
  <si>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</si>
  <si>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</si>
  <si>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</si>
  <si>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</si>
  <si>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</si>
  <si>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</si>
  <si>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</si>
  <si>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</si>
  <si>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</si>
  <si>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</si>
  <si>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</si>
  <si>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</si>
  <si>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</si>
  <si>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</si>
  <si>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</si>
  <si>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</si>
  <si>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</si>
  <si>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</si>
  <si>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</si>
  <si>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</si>
  <si>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</si>
  <si>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</si>
  <si>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</si>
  <si>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</si>
  <si>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</si>
  <si>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</si>
  <si>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</si>
  <si>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</si>
  <si>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</si>
  <si>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</si>
  <si>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</si>
  <si>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</si>
  <si>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</si>
  <si>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</si>
  <si>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</si>
  <si>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</si>
  <si>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</si>
  <si>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</si>
  <si>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</si>
  <si>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</si>
  <si>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</si>
  <si>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</si>
  <si>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</si>
  <si>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</si>
  <si>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</si>
  <si>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</si>
  <si>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</si>
  <si>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</si>
  <si>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</si>
  <si>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</si>
  <si>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</si>
  <si>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</si>
  <si>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</si>
  <si>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</si>
  <si>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</si>
  <si>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</si>
  <si>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</si>
  <si>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</si>
  <si>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</si>
  <si>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</si>
  <si>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</si>
  <si>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</si>
  <si>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</si>
  <si>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</si>
  <si>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</si>
  <si>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</si>
  <si>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</si>
  <si>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</si>
  <si>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</si>
  <si>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</si>
  <si>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</si>
  <si>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</si>
  <si>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</si>
  <si>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Betalinger til projekters medfinansiering ØR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</si>
  <si>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</si>
  <si>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</si>
  <si>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</si>
  <si>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</si>
  <si>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</si>
  <si>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</si>
  <si>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</si>
  <si>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</si>
  <si>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</si>
  <si>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</si>
  <si>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</si>
  <si>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</si>
  <si>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 For sen afgørelse, som kan opkræves senest 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</si>
</sst>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3" xfId="0"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p0eVJsiJerW9chdHFfsBHIa3I/fy3bvqGtkQe38icYwIxcEaHbRHaX+9QhI7xKNF4e2FpMG+41UoIQk8Gfr23w==" saltValue="VpgYBu7fay9CcKla14g9s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1" t="s">
        <v>272</v>
      </c>
      <c r="C10" s="9">
        <v>151739</v>
      </c>
      <c r="D10" s="14" t="s">
        <v>3</v>
      </c>
      <c r="E10" s="1"/>
      <c r="F10" s="1"/>
    </row>
    <row r="11" spans="1:6" ht="15" customHeight="1" x14ac:dyDescent="0.25">
      <c r="A11" s="1"/>
      <c r="B11" s="81" t="s">
        <v>273</v>
      </c>
      <c r="C11" s="9">
        <v>116579</v>
      </c>
      <c r="D11" s="14" t="s">
        <v>3</v>
      </c>
      <c r="E11" s="1"/>
      <c r="F11" s="1"/>
    </row>
    <row r="12" spans="1:6" ht="26.25" x14ac:dyDescent="0.25">
      <c r="A12" s="1"/>
      <c r="B12" s="29" t="s">
        <v>274</v>
      </c>
      <c r="C12" s="9">
        <v>17227056.949999999</v>
      </c>
      <c r="D12" s="14" t="s">
        <v>3</v>
      </c>
      <c r="E12" s="1"/>
      <c r="F12" s="1"/>
    </row>
    <row r="13" spans="1:6" x14ac:dyDescent="0.25">
      <c r="A13" s="1"/>
      <c r="B13" s="81" t="s">
        <v>275</v>
      </c>
      <c r="C13" s="9">
        <v>18291.8</v>
      </c>
      <c r="D13" s="14" t="s">
        <v>3</v>
      </c>
      <c r="E13" s="1"/>
      <c r="F13" s="1"/>
    </row>
    <row r="14" spans="1:6" x14ac:dyDescent="0.25">
      <c r="A14" s="1"/>
      <c r="B14" s="81" t="s">
        <v>276</v>
      </c>
      <c r="C14" s="9">
        <v>8300000</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25813666.75</v>
      </c>
      <c r="D20" s="13" t="s">
        <v>3</v>
      </c>
      <c r="E20" s="1"/>
      <c r="F20" s="1"/>
    </row>
    <row r="21" spans="1:6" x14ac:dyDescent="0.25">
      <c r="A21" s="1"/>
      <c r="B21" s="33" t="s">
        <v>227</v>
      </c>
      <c r="C21" s="12">
        <f>C20*(1+'Fane 15. Nøgletal'!C16)^2</f>
        <v>30153683.434090719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1" t="s">
        <v>109</v>
      </c>
      <c r="C25" s="9">
        <v>314409</v>
      </c>
      <c r="D25" s="14" t="s">
        <v>3</v>
      </c>
      <c r="E25" s="1"/>
      <c r="F25" s="1"/>
    </row>
    <row r="26" spans="1:6" x14ac:dyDescent="0.25">
      <c r="A26" s="1"/>
      <c r="B26" s="81" t="s">
        <v>123</v>
      </c>
      <c r="C26" s="9">
        <v>314877</v>
      </c>
      <c r="D26" s="14" t="s">
        <v>3</v>
      </c>
      <c r="E26" s="1"/>
      <c r="F26" s="1"/>
    </row>
    <row r="27" spans="1:6" x14ac:dyDescent="0.25">
      <c r="A27" s="1"/>
      <c r="B27" s="81" t="s">
        <v>142</v>
      </c>
      <c r="C27" s="9">
        <v>32118</v>
      </c>
      <c r="D27" s="14" t="s">
        <v>3</v>
      </c>
      <c r="E27" s="1"/>
      <c r="F27" s="1"/>
    </row>
    <row r="28" spans="1:6" x14ac:dyDescent="0.25">
      <c r="A28" s="1"/>
      <c r="B28" s="34" t="s">
        <v>261</v>
      </c>
      <c r="C28" s="9">
        <v>32600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NAgd/fhohJWkhuh4+JKYxW25aYWSWI9RXXxj/dqwVPIYitnQA1PNxPjQXxXqLEMbzD79qG1Kry4Y3hbHQC/MUg==" saltValue="BVBbrIr5TXEbYHACmnM8y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B347-EB8B-4552-A358-D177BC7D20E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277</v>
      </c>
      <c r="C9" s="122"/>
      <c r="D9" s="123"/>
      <c r="E9" s="9">
        <v>23733947</v>
      </c>
      <c r="F9" s="14" t="s">
        <v>3</v>
      </c>
      <c r="G9" s="1"/>
    </row>
    <row r="10" spans="1:7" ht="15" customHeight="1" x14ac:dyDescent="0.25">
      <c r="A10" s="1"/>
      <c r="B10" s="121" t="s">
        <v>143</v>
      </c>
      <c r="C10" s="122"/>
      <c r="D10" s="123"/>
      <c r="E10" s="9">
        <v>19182291.548665062</v>
      </c>
      <c r="F10" s="14" t="s">
        <v>3</v>
      </c>
      <c r="G10" s="1"/>
    </row>
    <row r="11" spans="1:7" ht="15" customHeight="1" x14ac:dyDescent="0.25">
      <c r="A11" s="1"/>
      <c r="B11" s="121" t="s">
        <v>278</v>
      </c>
      <c r="C11" s="122"/>
      <c r="D11" s="123"/>
      <c r="E11" s="9">
        <v>17984771.087276459</v>
      </c>
      <c r="F11" s="14" t="s">
        <v>3</v>
      </c>
      <c r="G11" s="1"/>
    </row>
    <row r="12" spans="1:7" x14ac:dyDescent="0.25">
      <c r="A12" s="1"/>
      <c r="B12" s="33"/>
      <c r="C12" s="28"/>
      <c r="D12" s="28"/>
      <c r="E12" s="28"/>
      <c r="F12" s="19"/>
      <c r="G12" s="1"/>
    </row>
    <row r="13" spans="1:7" ht="42" customHeight="1" x14ac:dyDescent="0.25">
      <c r="A13" s="1"/>
      <c r="B13" s="115" t="s">
        <v>279</v>
      </c>
      <c r="C13" s="116"/>
      <c r="D13" s="116"/>
      <c r="E13" s="116"/>
      <c r="F13" s="117"/>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0</v>
      </c>
      <c r="F16" s="14" t="s">
        <v>3</v>
      </c>
      <c r="G16" s="1"/>
    </row>
    <row r="17" spans="1:7" x14ac:dyDescent="0.25">
      <c r="A17" s="1"/>
      <c r="B17" s="78" t="s">
        <v>282</v>
      </c>
      <c r="C17" s="79"/>
      <c r="D17" s="80"/>
      <c r="E17" s="9">
        <f>IF(SUM(E10)&gt;0,SUM(E10),0)</f>
        <v>19182291.548665062</v>
      </c>
      <c r="F17" s="14" t="s">
        <v>3</v>
      </c>
      <c r="G17" s="1"/>
    </row>
    <row r="18" spans="1:7" x14ac:dyDescent="0.25">
      <c r="A18" s="1"/>
      <c r="B18" s="83" t="s">
        <v>283</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65416405.334936693</v>
      </c>
      <c r="F22" s="14" t="s">
        <v>3</v>
      </c>
      <c r="G22" s="1"/>
    </row>
    <row r="23" spans="1:7" x14ac:dyDescent="0.25">
      <c r="A23" s="1"/>
      <c r="B23" s="78" t="s">
        <v>286</v>
      </c>
      <c r="C23" s="79"/>
      <c r="D23" s="80"/>
      <c r="E23" s="9">
        <v>49752242.159999996</v>
      </c>
      <c r="F23" s="14" t="s">
        <v>3</v>
      </c>
      <c r="G23" s="1"/>
    </row>
    <row r="24" spans="1:7" x14ac:dyDescent="0.25">
      <c r="A24" s="1"/>
      <c r="B24" s="78" t="s">
        <v>30</v>
      </c>
      <c r="C24" s="79"/>
      <c r="D24" s="80"/>
      <c r="E24" s="9">
        <v>0</v>
      </c>
      <c r="F24" s="14" t="s">
        <v>3</v>
      </c>
      <c r="G24" s="1"/>
    </row>
    <row r="25" spans="1:7" x14ac:dyDescent="0.25">
      <c r="A25" s="1"/>
      <c r="B25" s="82" t="s">
        <v>289</v>
      </c>
      <c r="C25" s="79"/>
      <c r="D25" s="80"/>
      <c r="E25" s="72">
        <v>71574.660000000149</v>
      </c>
      <c r="F25" s="14" t="s">
        <v>3</v>
      </c>
      <c r="G25" s="1"/>
    </row>
    <row r="26" spans="1:7" x14ac:dyDescent="0.25">
      <c r="A26" s="1"/>
      <c r="B26" s="83" t="s">
        <v>287</v>
      </c>
      <c r="C26" s="84"/>
      <c r="D26" s="85"/>
      <c r="E26" s="62">
        <f>E22-E23-E24+E25</f>
        <v>15735737.834936697</v>
      </c>
      <c r="F26" s="17" t="s">
        <v>3</v>
      </c>
      <c r="G26" s="1"/>
    </row>
    <row r="27" spans="1:7" x14ac:dyDescent="0.25">
      <c r="A27" s="1"/>
      <c r="B27" s="33"/>
      <c r="C27" s="28"/>
      <c r="D27" s="28"/>
      <c r="E27" s="28"/>
      <c r="F27" s="19"/>
      <c r="G27" s="1"/>
    </row>
    <row r="28" spans="1:7" x14ac:dyDescent="0.25">
      <c r="A28" s="1"/>
      <c r="B28" s="1"/>
      <c r="C28" s="1"/>
      <c r="D28" s="1"/>
      <c r="E28" s="1"/>
      <c r="F28" s="1"/>
      <c r="G28" s="1"/>
    </row>
    <row r="29" spans="1:7" x14ac:dyDescent="0.25">
      <c r="A29" s="1"/>
      <c r="B29" s="118" t="s">
        <v>288</v>
      </c>
      <c r="C29" s="119"/>
      <c r="D29" s="119"/>
      <c r="E29" s="119"/>
      <c r="F29" s="120"/>
      <c r="G29" s="1"/>
    </row>
    <row r="30" spans="1:7" x14ac:dyDescent="0.25">
      <c r="A30" s="1"/>
      <c r="B30" s="136" t="s">
        <v>116</v>
      </c>
      <c r="C30" s="137"/>
      <c r="D30" s="138"/>
      <c r="E30" s="9">
        <f>IF(E18&lt;0,IF(E26&lt;0,SUM(E18,E26),IF(E10&gt;0,SUM(E10:E11),E18)),IF(AND(E26&lt;0,SUM(E26,E11)&lt;0),IF(E11&lt;0,E26,IF(SUM(E10:E11)&gt;0,SUM(E26,E11),IF(AND(E26&lt;0,E18=0,E11&gt;0),IF(SUM(E9:E11)&gt;0,E26+E11,E26)))),0))</f>
        <v>0</v>
      </c>
      <c r="F30" s="14" t="s">
        <v>3</v>
      </c>
      <c r="G30" s="1"/>
    </row>
    <row r="31" spans="1:7" x14ac:dyDescent="0.25">
      <c r="A31" s="1"/>
      <c r="B31" s="136" t="s">
        <v>84</v>
      </c>
      <c r="C31" s="137"/>
      <c r="D31" s="138"/>
      <c r="E31" s="9">
        <v>2</v>
      </c>
      <c r="F31" s="14" t="s">
        <v>20</v>
      </c>
      <c r="G31" s="1"/>
    </row>
    <row r="32" spans="1:7" x14ac:dyDescent="0.25">
      <c r="A32" s="1"/>
      <c r="B32" s="139" t="s">
        <v>117</v>
      </c>
      <c r="C32" s="140"/>
      <c r="D32" s="141"/>
      <c r="E32" s="10">
        <f>E30/E31</f>
        <v>0</v>
      </c>
      <c r="F32" s="17" t="s">
        <v>3</v>
      </c>
      <c r="G32" s="1"/>
    </row>
    <row r="33" spans="1:7" x14ac:dyDescent="0.25">
      <c r="A33" s="1"/>
      <c r="B33" s="133"/>
      <c r="C33" s="134"/>
      <c r="D33" s="134"/>
      <c r="E33" s="134"/>
      <c r="F33" s="135"/>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c5wmyU0NoS7QMvqMmS4Vz/4HMUqQzoZReYcLpDwHLxjbGQn1jTJY90TheUoGlSN14hXC4PgLqPGW6iz6gKrZLQ==" saltValue="VKOXXZr2Zxro8boGwrVjag==" spinCount="100000" sheet="1" objects="1" scenarios="1"/>
  <mergeCells count="11">
    <mergeCell ref="B33:F33"/>
    <mergeCell ref="B13:F13"/>
    <mergeCell ref="B3:F4"/>
    <mergeCell ref="B8:F8"/>
    <mergeCell ref="B9:D9"/>
    <mergeCell ref="B10:D10"/>
    <mergeCell ref="B11:D11"/>
    <mergeCell ref="B30:D30"/>
    <mergeCell ref="B31:D31"/>
    <mergeCell ref="B29:F29"/>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gxD2xDMT9FL/s5jrDnCRjRsJ9XEsl4HlgQGM0H2YJGIeTeF0zcZl+k6uBuHWOBqFyzid25JQAZTOlUllWxcog==" saltValue="gjL6IE49kUBHg63qVytK2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9" t="s">
        <v>83</v>
      </c>
      <c r="C12" s="140"/>
      <c r="D12" s="141"/>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313495</v>
      </c>
      <c r="F14" s="8" t="s">
        <v>3</v>
      </c>
      <c r="G14" s="1"/>
    </row>
    <row r="15" spans="1:7" x14ac:dyDescent="0.25">
      <c r="A15" s="1"/>
      <c r="B15" s="115" t="s">
        <v>231</v>
      </c>
      <c r="C15" s="116"/>
      <c r="D15" s="117"/>
      <c r="E15" s="7">
        <v>274221</v>
      </c>
      <c r="F15" s="8" t="s">
        <v>3</v>
      </c>
      <c r="G15" s="1"/>
    </row>
    <row r="16" spans="1:7" x14ac:dyDescent="0.25">
      <c r="A16" s="1"/>
      <c r="B16" s="139" t="s">
        <v>83</v>
      </c>
      <c r="C16" s="140"/>
      <c r="D16" s="141"/>
      <c r="E16" s="10">
        <f>E15-E14</f>
        <v>-39274</v>
      </c>
      <c r="F16" s="11" t="s">
        <v>3</v>
      </c>
      <c r="G16" s="1"/>
    </row>
    <row r="17" spans="1:7" x14ac:dyDescent="0.25">
      <c r="A17" s="1"/>
      <c r="B17" s="33" t="s">
        <v>232</v>
      </c>
      <c r="C17" s="28"/>
      <c r="D17" s="28"/>
      <c r="E17" s="12">
        <f>E12+E16</f>
        <v>-39274</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22zyYB0Ch4DIF1HEyHhqHoBRBORjgfCUYex1T59xFRzVV5BtbSYgYspEqgfRtxYB2Lrq2Lt/jnOH2JtKtzMg==" saltValue="YJw++5vHRwi+YEcrZSb2y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9Nl35+P0iatrHjRdEm0bBLSwsyTvpPrIS4lnbqpjZ1CWCigw6mM9Lk0uzzfztH7Gzkg3yy2EHoXjIH1L5OcgpA==" saltValue="rKT0KnmspTD+rKtcl3eO3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wdoF1LnMI7aPnZRextk+ACO+gNQXzNB4Xp/fpxfhPkCjpdAcgA+o2QDR5bHe8YMRJkFYvbCyTGPh2tVlshH9w==" saltValue="98CaHFenO2S+XriLM0l+8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JE2CwsWGJdGxCREZFNCVmxBy023JXnwdUQEXrVocUUhfXaLspjWDO0LsboqD2ALYjMkeic0RPHDK2ZLyzqkmA==" saltValue="pvKvRMkfxaGnZUoXg2cKh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8" t="s">
        <v>111</v>
      </c>
      <c r="C13" s="119"/>
      <c r="D13" s="120"/>
      <c r="E13" s="12">
        <f>SUM(E10:E12)*(1+'Fane 15. Nøgletal'!C16)^2</f>
        <v>0</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8" t="s">
        <v>125</v>
      </c>
      <c r="C19" s="119"/>
      <c r="D19" s="120"/>
      <c r="E19" s="12">
        <f>SUM(E16:E18)*(1+'Fane 15. Nøgletal'!C16)^3</f>
        <v>0</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8" t="s">
        <v>146</v>
      </c>
      <c r="C25" s="119"/>
      <c r="D25" s="120"/>
      <c r="E25" s="12">
        <f>SUM(E22:E24)*(1+'Fane 15. Nøgletal'!C16)^4</f>
        <v>0</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8" t="s">
        <v>238</v>
      </c>
      <c r="C31" s="119"/>
      <c r="D31" s="120"/>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K/knExfbSVs4qlbOAbDsfTqUGrrR8+p3SXZqdHNHLZKNYgCdg1jo4ztLLVd+gDdYQjI/O3U43hEOTtdssyQQw==" saltValue="KLWghPQYA1YOfsN2T961a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3ld+xk7/NZxPaTlc9lHEI1ke9L6d2pCdPWIGrNJougkViSG9J9uj9Z6q5q/l6rs76ghC39LuaN/rgHLbq9NHtA==" saltValue="hrDmjMDT0MEuj2sIxFt+z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O9+TUjrw0RkiTk0zrewXngqxJsjRJgNMthO3UKzCvAYHxM9Jq2BzvavXOOvZAPTHgbddtrlySG8/67sfbNVFQ==" saltValue="QOfmqi7YUfOG7ep1+X9FS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47867406.642102368</v>
      </c>
      <c r="D9" s="8" t="s">
        <v>3</v>
      </c>
      <c r="E9" s="1"/>
    </row>
    <row r="10" spans="1:5" ht="17.25" customHeight="1" x14ac:dyDescent="0.25">
      <c r="A10" s="1"/>
      <c r="B10" s="89" t="s">
        <v>36</v>
      </c>
      <c r="C10" s="7">
        <f>'Fane 11.1. Varige tillæg'!C20</f>
        <v>0</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3867686.4566818713</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-238257.75711781066</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51496835.34166643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30468092.434090719</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41">
        <f>'Fane 11.2. Engangstillæg'!C14</f>
        <v>0</v>
      </c>
      <c r="D26" s="8" t="s">
        <v>3</v>
      </c>
      <c r="E26" s="1"/>
    </row>
    <row r="27" spans="1:5" ht="15" customHeight="1" x14ac:dyDescent="0.25">
      <c r="A27" s="1"/>
      <c r="B27" s="89" t="s">
        <v>70</v>
      </c>
      <c r="C27" s="41">
        <f>'Fane 11.2. Engangstillæg'!E14</f>
        <v>0</v>
      </c>
      <c r="D27" s="8" t="s">
        <v>3</v>
      </c>
      <c r="E27" s="1"/>
    </row>
    <row r="28" spans="1:5" ht="15" customHeight="1" x14ac:dyDescent="0.25">
      <c r="A28" s="1"/>
      <c r="B28" s="89" t="s">
        <v>161</v>
      </c>
      <c r="C28" s="41">
        <f>-C26*('Fane 15. Nøgletal'!C33+'Fane 5. Individuelt eff. krav'!G9)</f>
        <v>0</v>
      </c>
      <c r="D28" s="8" t="s">
        <v>3</v>
      </c>
      <c r="E28" s="1"/>
    </row>
    <row r="29" spans="1:5" ht="15" customHeight="1" x14ac:dyDescent="0.25">
      <c r="A29" s="1"/>
      <c r="B29" s="89"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ØR2022'!E32</f>
        <v>0</v>
      </c>
      <c r="D32" s="11" t="s">
        <v>3</v>
      </c>
      <c r="E32" s="1"/>
    </row>
    <row r="33" spans="1:5" ht="15" customHeight="1" x14ac:dyDescent="0.25">
      <c r="A33" s="1"/>
      <c r="B33" s="33" t="s">
        <v>200</v>
      </c>
      <c r="C33" s="28"/>
      <c r="D33" s="19"/>
      <c r="E33" s="1"/>
    </row>
    <row r="34" spans="1:5" x14ac:dyDescent="0.25">
      <c r="A34" s="1"/>
      <c r="B34" s="31" t="s">
        <v>200</v>
      </c>
      <c r="C34" s="10">
        <f>'Fane 9. Korrektion af ØR2022'!E17</f>
        <v>-39274</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81925653.775757149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uZfgDPNw/W2I6KceIpcXdjMpsmlxvwsXFumeJuwVaghUv8oeq6jpsQKk1/+RtMz+MzYvQkd8agaN3D8PDhcrQ==" saltValue="3oT15ehIFSqHYg1Jcx4l1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oo71GPG7hugCWYvlvJ7Wwo01U3opCpjNr3HoZa3BzShOX0USekkWwJZ1xNzSaDRSBK3fG94tnFgpEGBdg6sKVw==" saltValue="uMHcb7Or5fekQkDRUus+y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51496835.34166643</v>
      </c>
      <c r="D9" s="8" t="s">
        <v>3</v>
      </c>
      <c r="E9" s="1"/>
    </row>
    <row r="10" spans="1:5" ht="15" customHeight="1" x14ac:dyDescent="0.25">
      <c r="A10" s="1"/>
      <c r="B10" s="26" t="s">
        <v>19</v>
      </c>
      <c r="C10" s="7">
        <f>SUM(C9:C9)*'Fane 15. Nøgletal'!C16</f>
        <v>4160944.2956066476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-252358.80421507117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55405420.833058007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32904978.055565249</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ØR2022'!E32</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88310398.888623253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OAXpPk+8fLMi0EXjHxOVcwfgrYzN1dgGDi6Zngqwuxpvihnta/JW5F4+8BZRDrR08UqXSSEDQt1iUQgSUUYw==" saltValue="dZeG+lAik0DPj/bcBvnB4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55405420.833058007</v>
      </c>
      <c r="D9" s="8" t="s">
        <v>3</v>
      </c>
      <c r="E9" s="1"/>
    </row>
    <row r="10" spans="1:5" ht="15" customHeight="1" x14ac:dyDescent="0.25">
      <c r="A10" s="1"/>
      <c r="B10" s="26" t="s">
        <v>19</v>
      </c>
      <c r="C10" s="7">
        <f>SUM(C9:C9)*'Fane 15. Nøgletal'!C16</f>
        <v>4476758.0033110864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-267294.40768373595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59614884.42868536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35255499.220854916</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94870383.649540275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B0VPv7aNEX/QN7lqOoouxha4wmJb8SQkQSLxzcRv7sXmPTQyoO+Zk9oUwvsbadh0ut1ZyaZ/uqRXsa8OEcwHw==" saltValue="THtcIfP/9AYywqWViGYzu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59614884.42868536</v>
      </c>
      <c r="D9" s="8" t="s">
        <v>3</v>
      </c>
      <c r="E9" s="1"/>
      <c r="F9" s="1"/>
    </row>
    <row r="10" spans="1:6" ht="15" customHeight="1" x14ac:dyDescent="0.25">
      <c r="A10" s="1"/>
      <c r="B10" s="26" t="s">
        <v>19</v>
      </c>
      <c r="C10" s="7">
        <f>SUM(C9:C9)*'Fane 15. Nøgletal'!C16</f>
        <v>4816882.6618377771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-283113.95990809018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64148653.130615048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38102030.423499994</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102250683.55411504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I9z2jrBa7szrxq2/EAx6fafTy38CeOjTT6v0dB6seosPp1foR9gTuNz30K301rz3cJWPAZN3yOinD78N/vH2A==" saltValue="kV/T73C2UZNxhc0lC8gDB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48502875.649954237</v>
      </c>
      <c r="D9" s="8" t="s">
        <v>3</v>
      </c>
      <c r="E9" s="1"/>
    </row>
    <row r="10" spans="1:5" x14ac:dyDescent="0.25">
      <c r="A10" s="1"/>
      <c r="B10" s="89" t="s">
        <v>36</v>
      </c>
      <c r="C10" s="7">
        <v>0</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160059.48964484897</v>
      </c>
      <c r="D16" s="8" t="s">
        <v>3</v>
      </c>
      <c r="E16" s="1"/>
    </row>
    <row r="17" spans="1:5" x14ac:dyDescent="0.25">
      <c r="A17" s="1"/>
      <c r="B17" s="89" t="s">
        <v>10</v>
      </c>
      <c r="C17" s="41">
        <v>0</v>
      </c>
      <c r="D17" s="8" t="s">
        <v>3</v>
      </c>
      <c r="E17" s="1"/>
    </row>
    <row r="18" spans="1:5" x14ac:dyDescent="0.25">
      <c r="A18" s="1"/>
      <c r="B18" s="89" t="s">
        <v>23</v>
      </c>
      <c r="C18" s="41">
        <v>-224944.6339047896</v>
      </c>
      <c r="D18" s="8" t="s">
        <v>3</v>
      </c>
      <c r="E18" s="1"/>
    </row>
    <row r="19" spans="1:5" x14ac:dyDescent="0.25">
      <c r="A19" s="1"/>
      <c r="B19" s="89" t="s">
        <v>24</v>
      </c>
      <c r="C19" s="41">
        <v>-570583.86359192722</v>
      </c>
      <c r="D19" s="8" t="s">
        <v>3</v>
      </c>
      <c r="E19" s="47"/>
    </row>
    <row r="20" spans="1:5" x14ac:dyDescent="0.25">
      <c r="A20" s="1"/>
      <c r="B20" s="83" t="s">
        <v>21</v>
      </c>
      <c r="C20" s="10">
        <v>47867406.642102368</v>
      </c>
      <c r="D20" s="11" t="s">
        <v>3</v>
      </c>
      <c r="E20" s="1"/>
    </row>
    <row r="21" spans="1:5" x14ac:dyDescent="0.25">
      <c r="A21" s="1"/>
      <c r="B21" s="33" t="s">
        <v>12</v>
      </c>
      <c r="C21" s="28"/>
      <c r="D21" s="19"/>
      <c r="E21" s="1"/>
    </row>
    <row r="22" spans="1:5" x14ac:dyDescent="0.25">
      <c r="A22" s="1"/>
      <c r="B22" s="31" t="s">
        <v>12</v>
      </c>
      <c r="C22" s="10">
        <v>18141507.72849904</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-38826.469999999972</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65970087.900601409</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jvdJUFNGytfEwPvULgtMjZkHYDm6f+fFLadv+e7oJGGJE+D/V3e8NY8KPpnvHaE8h7ceM6K6FskQERSbudxFg==" saltValue="MPPHvNY/J4AllkMDbCgxC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8" t="s">
        <v>46</v>
      </c>
      <c r="C4" s="119"/>
      <c r="D4" s="119"/>
      <c r="E4" s="119"/>
      <c r="F4" s="119"/>
      <c r="G4" s="119"/>
      <c r="H4" s="120"/>
      <c r="I4" s="1"/>
    </row>
    <row r="5" spans="1:9" x14ac:dyDescent="0.25">
      <c r="A5" s="1"/>
      <c r="B5" s="121" t="s">
        <v>38</v>
      </c>
      <c r="C5" s="122"/>
      <c r="D5" s="122"/>
      <c r="E5" s="122"/>
      <c r="F5" s="123"/>
      <c r="G5" s="63">
        <v>11785774</v>
      </c>
      <c r="H5" s="14" t="s">
        <v>3</v>
      </c>
      <c r="I5" s="1"/>
    </row>
    <row r="6" spans="1:9" x14ac:dyDescent="0.25">
      <c r="A6" s="1"/>
      <c r="B6" s="115" t="s">
        <v>102</v>
      </c>
      <c r="C6" s="116"/>
      <c r="D6" s="116"/>
      <c r="E6" s="116"/>
      <c r="F6" s="117"/>
      <c r="G6" s="66">
        <v>196873</v>
      </c>
      <c r="H6" s="14" t="s">
        <v>3</v>
      </c>
      <c r="I6" s="1"/>
    </row>
    <row r="7" spans="1:9" x14ac:dyDescent="0.25">
      <c r="A7" s="1"/>
      <c r="B7" s="121" t="s">
        <v>39</v>
      </c>
      <c r="C7" s="122"/>
      <c r="D7" s="122"/>
      <c r="E7" s="122"/>
      <c r="F7" s="123"/>
      <c r="G7" s="23">
        <f>SUM(G5:G6)*'Fane 15. Nøgletal'!C33</f>
        <v>239652.94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11748178.178550001</v>
      </c>
      <c r="H11" s="14" t="s">
        <v>3</v>
      </c>
      <c r="I11" s="1"/>
    </row>
    <row r="12" spans="1:9" ht="15" customHeight="1" x14ac:dyDescent="0.25">
      <c r="A12" s="1"/>
      <c r="B12" s="121" t="s">
        <v>103</v>
      </c>
      <c r="C12" s="122"/>
      <c r="D12" s="122"/>
      <c r="E12" s="122"/>
      <c r="F12" s="123"/>
      <c r="G12" s="66">
        <v>-174939.16132936202</v>
      </c>
      <c r="H12" s="14" t="s">
        <v>3</v>
      </c>
      <c r="I12" s="1"/>
    </row>
    <row r="13" spans="1:9" x14ac:dyDescent="0.25">
      <c r="A13" s="1"/>
      <c r="B13" s="115" t="s">
        <v>100</v>
      </c>
      <c r="C13" s="116"/>
      <c r="D13" s="116"/>
      <c r="E13" s="116"/>
      <c r="F13" s="117"/>
      <c r="G13" s="66">
        <v>861472.04415798606</v>
      </c>
      <c r="H13" s="14" t="s">
        <v>3</v>
      </c>
      <c r="I13" s="1"/>
    </row>
    <row r="14" spans="1:9" x14ac:dyDescent="0.25">
      <c r="A14" s="1"/>
      <c r="B14" s="124" t="s">
        <v>244</v>
      </c>
      <c r="C14" s="125"/>
      <c r="D14" s="125"/>
      <c r="E14" s="125"/>
      <c r="F14" s="126"/>
      <c r="G14" s="66">
        <v>66116.132500000007</v>
      </c>
      <c r="H14" s="14" t="s">
        <v>3</v>
      </c>
      <c r="I14" s="1"/>
    </row>
    <row r="15" spans="1:9" x14ac:dyDescent="0.25">
      <c r="A15" s="1"/>
      <c r="B15" s="121" t="s">
        <v>41</v>
      </c>
      <c r="C15" s="122"/>
      <c r="D15" s="122"/>
      <c r="E15" s="122"/>
      <c r="F15" s="123"/>
      <c r="G15" s="23">
        <f>SUM(G11:G14)*'Fane 15. Nøgletal'!C33</f>
        <v>250016.54387757249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11588652.031445323</v>
      </c>
      <c r="H19" s="14" t="s">
        <v>3</v>
      </c>
      <c r="I19" s="1"/>
    </row>
    <row r="20" spans="1:9" x14ac:dyDescent="0.25">
      <c r="A20" s="1"/>
      <c r="B20" s="124" t="s">
        <v>245</v>
      </c>
      <c r="C20" s="125"/>
      <c r="D20" s="125"/>
      <c r="E20" s="125"/>
      <c r="F20" s="126"/>
      <c r="G20" s="23">
        <f>677468.77836418-595580*1.0169^2</f>
        <v>61588.070760380127</v>
      </c>
      <c r="H20" s="14" t="s">
        <v>3</v>
      </c>
      <c r="I20" s="1"/>
    </row>
    <row r="21" spans="1:9" x14ac:dyDescent="0.25">
      <c r="A21" s="1"/>
      <c r="B21" s="121" t="s">
        <v>43</v>
      </c>
      <c r="C21" s="122"/>
      <c r="D21" s="122"/>
      <c r="E21" s="122"/>
      <c r="F21" s="123"/>
      <c r="G21" s="23">
        <f>SUM(G19:G20)*'Fane 15. Nøgletal'!C33</f>
        <v>233004.80204411407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11642154.835574772</v>
      </c>
      <c r="H25" s="14" t="s">
        <v>3</v>
      </c>
      <c r="I25" s="1"/>
    </row>
    <row r="26" spans="1:9" x14ac:dyDescent="0.25">
      <c r="A26" s="1"/>
      <c r="B26" s="124" t="s">
        <v>246</v>
      </c>
      <c r="C26" s="125"/>
      <c r="D26" s="125"/>
      <c r="E26" s="125"/>
      <c r="F26" s="126"/>
      <c r="G26" s="66">
        <v>0</v>
      </c>
      <c r="H26" s="14" t="s">
        <v>3</v>
      </c>
      <c r="I26" s="1"/>
    </row>
    <row r="27" spans="1:9" x14ac:dyDescent="0.25">
      <c r="A27" s="1"/>
      <c r="B27" s="121" t="s">
        <v>45</v>
      </c>
      <c r="C27" s="122"/>
      <c r="D27" s="122"/>
      <c r="E27" s="122"/>
      <c r="F27" s="123"/>
      <c r="G27" s="23">
        <f>(G25+G26)*'Fane 15. Nøgletal'!C33</f>
        <v>232843.09671149545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11634075.180118883</v>
      </c>
      <c r="H31" s="14" t="s">
        <v>3</v>
      </c>
      <c r="I31" s="1"/>
    </row>
    <row r="32" spans="1:9" x14ac:dyDescent="0.25">
      <c r="A32" s="1"/>
      <c r="B32" s="121" t="s">
        <v>243</v>
      </c>
      <c r="C32" s="122"/>
      <c r="D32" s="122"/>
      <c r="E32" s="122"/>
      <c r="F32" s="123"/>
      <c r="G32" s="63">
        <v>0</v>
      </c>
      <c r="H32" s="14" t="s">
        <v>3</v>
      </c>
      <c r="I32" s="1"/>
    </row>
    <row r="33" spans="1:9" x14ac:dyDescent="0.25">
      <c r="A33" s="1"/>
      <c r="B33" s="121" t="s">
        <v>54</v>
      </c>
      <c r="C33" s="122"/>
      <c r="D33" s="122"/>
      <c r="E33" s="122"/>
      <c r="F33" s="123"/>
      <c r="G33" s="23">
        <f>(G31+G32)*'Fane 15. Nøgletal'!C33</f>
        <v>232681.50360237766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11439018.275649011</v>
      </c>
      <c r="H37" s="14" t="s">
        <v>3</v>
      </c>
      <c r="I37" s="1"/>
    </row>
    <row r="38" spans="1:9" x14ac:dyDescent="0.25">
      <c r="A38" s="1"/>
      <c r="B38" s="121" t="s">
        <v>242</v>
      </c>
      <c r="C38" s="122"/>
      <c r="D38" s="122"/>
      <c r="E38" s="122"/>
      <c r="F38" s="123"/>
      <c r="G38" s="63">
        <v>0</v>
      </c>
      <c r="H38" s="14" t="s">
        <v>3</v>
      </c>
      <c r="I38" s="1"/>
    </row>
    <row r="39" spans="1:9" x14ac:dyDescent="0.25">
      <c r="A39" s="1"/>
      <c r="B39" s="121" t="s">
        <v>128</v>
      </c>
      <c r="C39" s="122"/>
      <c r="D39" s="122"/>
      <c r="E39" s="122"/>
      <c r="F39" s="123"/>
      <c r="G39" s="23">
        <f>(G37+G38)*'Fane 15. Nøgletal'!C33</f>
        <v>228780.36551298024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11247231.695239481</v>
      </c>
      <c r="H43" s="14" t="s">
        <v>3</v>
      </c>
      <c r="I43" s="1"/>
    </row>
    <row r="44" spans="1:9" x14ac:dyDescent="0.25">
      <c r="A44" s="1"/>
      <c r="B44" s="127" t="s">
        <v>157</v>
      </c>
      <c r="C44" s="128"/>
      <c r="D44" s="128"/>
      <c r="E44" s="128"/>
      <c r="F44" s="129"/>
      <c r="G44" s="63">
        <v>0</v>
      </c>
      <c r="H44" s="14" t="s">
        <v>3</v>
      </c>
      <c r="I44" s="1"/>
    </row>
    <row r="45" spans="1:9" x14ac:dyDescent="0.25">
      <c r="A45" s="1"/>
      <c r="B45" s="121" t="s">
        <v>129</v>
      </c>
      <c r="C45" s="122"/>
      <c r="D45" s="122"/>
      <c r="E45" s="122"/>
      <c r="F45" s="123"/>
      <c r="G45" s="23">
        <f>SUM(G43:G44)*'Fane 15. Nøgletal'!C33</f>
        <v>224944.6339047896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11912887.855890533</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0</v>
      </c>
      <c r="H53" s="14" t="s">
        <v>3</v>
      </c>
      <c r="I53" s="1"/>
    </row>
    <row r="54" spans="1:9" x14ac:dyDescent="0.25">
      <c r="A54" s="1"/>
      <c r="B54" s="121" t="s">
        <v>210</v>
      </c>
      <c r="C54" s="122"/>
      <c r="D54" s="122"/>
      <c r="E54" s="122"/>
      <c r="F54" s="123"/>
      <c r="G54" s="23">
        <f>(G52)*'Fane 15. Nøgletal'!C33+(G53)*'Fane 15. Nøgletal'!C33</f>
        <v>238257.75711781066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8" t="s">
        <v>212</v>
      </c>
      <c r="C58" s="79"/>
      <c r="D58" s="79"/>
      <c r="E58" s="79"/>
      <c r="F58" s="80"/>
      <c r="G58" s="23">
        <f>(G52+G53-G54)*(1+'Fane 15. Nøgletal'!C16)</f>
        <v>12617940.210753558</v>
      </c>
      <c r="H58" s="14" t="s">
        <v>3</v>
      </c>
      <c r="I58" s="1"/>
    </row>
    <row r="59" spans="1:9" x14ac:dyDescent="0.25">
      <c r="A59" s="1"/>
      <c r="B59" s="78" t="s">
        <v>211</v>
      </c>
      <c r="C59" s="79"/>
      <c r="D59" s="79"/>
      <c r="E59" s="79"/>
      <c r="F59" s="80"/>
      <c r="G59" s="23">
        <f>(G58)*'Fane 15. Nøgletal'!C33</f>
        <v>252358.80421507117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8" t="s">
        <v>213</v>
      </c>
      <c r="C63" s="79"/>
      <c r="D63" s="79"/>
      <c r="E63" s="79"/>
      <c r="F63" s="80"/>
      <c r="G63" s="23">
        <f>(G58-G59)*(1+'Fane 15. Nøgletal'!C16)</f>
        <v>13364720.384186797</v>
      </c>
      <c r="H63" s="14" t="s">
        <v>3</v>
      </c>
      <c r="I63" s="1"/>
    </row>
    <row r="64" spans="1:9" x14ac:dyDescent="0.25">
      <c r="A64" s="1"/>
      <c r="B64" s="78" t="s">
        <v>214</v>
      </c>
      <c r="C64" s="79"/>
      <c r="D64" s="79"/>
      <c r="E64" s="79"/>
      <c r="F64" s="80"/>
      <c r="G64" s="23">
        <f>(G63)*'Fane 15. Nøgletal'!C33</f>
        <v>267294.40768373595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8" t="s">
        <v>213</v>
      </c>
      <c r="C68" s="79"/>
      <c r="D68" s="79"/>
      <c r="E68" s="79"/>
      <c r="F68" s="80"/>
      <c r="G68" s="23">
        <f>(G63-G64)*(1+'Fane 15. Nøgletal'!C16)</f>
        <v>14155697.995404508</v>
      </c>
      <c r="H68" s="14" t="s">
        <v>3</v>
      </c>
      <c r="I68" s="1"/>
    </row>
    <row r="69" spans="1:9" x14ac:dyDescent="0.25">
      <c r="A69" s="1"/>
      <c r="B69" s="78" t="s">
        <v>214</v>
      </c>
      <c r="C69" s="79"/>
      <c r="D69" s="79"/>
      <c r="E69" s="79"/>
      <c r="F69" s="80"/>
      <c r="G69" s="23">
        <f>(G68)*'Fane 15. Nøgletal'!C33</f>
        <v>283113.95990809018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304RJ66DTtzCncNbqUnAcNpGyfZw2PaGjD0yos8cnBN4JaB9I2Mw9RwtBRHj33O84JJ0R6tTVI3wt4e7DxGNZQ==" saltValue="k9bnPrQyDxJdOaR8mvTJm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39413866</v>
      </c>
      <c r="H5" s="14" t="s">
        <v>3</v>
      </c>
      <c r="I5" s="1"/>
    </row>
    <row r="6" spans="1:9" x14ac:dyDescent="0.25">
      <c r="A6" s="1"/>
      <c r="B6" s="121" t="s">
        <v>51</v>
      </c>
      <c r="C6" s="122"/>
      <c r="D6" s="122"/>
      <c r="E6" s="122"/>
      <c r="F6" s="123"/>
      <c r="G6" s="23">
        <f>G5*'Fane 15. Nøgletal'!C21</f>
        <v>358666.18060000002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39738665.816239499</v>
      </c>
      <c r="H10" s="14" t="s">
        <v>3</v>
      </c>
      <c r="I10" s="1"/>
    </row>
    <row r="11" spans="1:9" x14ac:dyDescent="0.25">
      <c r="A11" s="1"/>
      <c r="B11" s="121" t="s">
        <v>104</v>
      </c>
      <c r="C11" s="122"/>
      <c r="D11" s="122"/>
      <c r="E11" s="122"/>
      <c r="F11" s="123"/>
      <c r="G11" s="63">
        <v>600711.07275823352</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714006.97093525995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40318813.891628563</v>
      </c>
      <c r="H17" s="14" t="s">
        <v>3</v>
      </c>
      <c r="I17" s="1"/>
    </row>
    <row r="18" spans="1:9" x14ac:dyDescent="0.25">
      <c r="A18" s="1"/>
      <c r="B18" s="124" t="s">
        <v>248</v>
      </c>
      <c r="C18" s="125"/>
      <c r="D18" s="125"/>
      <c r="E18" s="125"/>
      <c r="F18" s="126"/>
      <c r="G18" s="63">
        <v>0</v>
      </c>
      <c r="H18" s="14" t="s">
        <v>3</v>
      </c>
      <c r="I18" s="1"/>
    </row>
    <row r="19" spans="1:9" x14ac:dyDescent="0.25">
      <c r="A19" s="1"/>
      <c r="B19" s="121" t="s">
        <v>61</v>
      </c>
      <c r="C19" s="122"/>
      <c r="D19" s="122"/>
      <c r="E19" s="122"/>
      <c r="F19" s="123"/>
      <c r="G19" s="23">
        <f>G17*'Fane 15. Nøgletal'!C22+G18*'Fane 15. Nøgletal'!C23</f>
        <v>713643.00588182558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40385392.752195954</v>
      </c>
      <c r="H23" s="14" t="s">
        <v>3</v>
      </c>
      <c r="I23" s="1"/>
    </row>
    <row r="24" spans="1:9" x14ac:dyDescent="0.25">
      <c r="A24" s="1"/>
      <c r="B24" s="124" t="s">
        <v>249</v>
      </c>
      <c r="C24" s="125"/>
      <c r="D24" s="125"/>
      <c r="E24" s="125"/>
      <c r="F24" s="126"/>
      <c r="G24" s="63">
        <v>0</v>
      </c>
      <c r="H24" s="14" t="s">
        <v>3</v>
      </c>
      <c r="I24" s="1"/>
    </row>
    <row r="25" spans="1:9" x14ac:dyDescent="0.25">
      <c r="A25" s="1"/>
      <c r="B25" s="121" t="s">
        <v>64</v>
      </c>
      <c r="C25" s="122"/>
      <c r="D25" s="122"/>
      <c r="E25" s="122"/>
      <c r="F25" s="123"/>
      <c r="G25" s="23">
        <f>(G23+G24)*'Fane 15. Nøgletal'!C24</f>
        <v>1146945.1541623652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40011445.015714854</v>
      </c>
      <c r="H29" s="14" t="s">
        <v>3</v>
      </c>
      <c r="I29" s="1"/>
    </row>
    <row r="30" spans="1:9" x14ac:dyDescent="0.25">
      <c r="A30" s="1"/>
      <c r="B30" s="121" t="s">
        <v>250</v>
      </c>
      <c r="C30" s="122"/>
      <c r="D30" s="122"/>
      <c r="E30" s="122"/>
      <c r="F30" s="123"/>
      <c r="G30" s="63">
        <v>0</v>
      </c>
      <c r="H30" s="14" t="s">
        <v>3</v>
      </c>
      <c r="I30" s="1"/>
    </row>
    <row r="31" spans="1:9" x14ac:dyDescent="0.25">
      <c r="A31" s="1"/>
      <c r="B31" s="121" t="s">
        <v>67</v>
      </c>
      <c r="C31" s="122"/>
      <c r="D31" s="122"/>
      <c r="E31" s="122"/>
      <c r="F31" s="123"/>
      <c r="G31" s="23">
        <f>G29*'Fane 15. Nøgletal'!C24+G30*'Fane 15. Nøgletal'!C25</f>
        <v>1136325.0384463018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39003407.873193547</v>
      </c>
      <c r="H35" s="14" t="s">
        <v>3</v>
      </c>
      <c r="I35" s="1"/>
    </row>
    <row r="36" spans="1:9" x14ac:dyDescent="0.25">
      <c r="A36" s="1"/>
      <c r="B36" s="121" t="s">
        <v>251</v>
      </c>
      <c r="C36" s="122"/>
      <c r="D36" s="122"/>
      <c r="E36" s="122"/>
      <c r="F36" s="123"/>
      <c r="G36" s="63">
        <v>0</v>
      </c>
      <c r="H36" s="14" t="s">
        <v>3</v>
      </c>
      <c r="I36" s="1"/>
    </row>
    <row r="37" spans="1:9" x14ac:dyDescent="0.25">
      <c r="A37" s="1"/>
      <c r="B37" s="121" t="s">
        <v>131</v>
      </c>
      <c r="C37" s="122"/>
      <c r="D37" s="122"/>
      <c r="E37" s="122"/>
      <c r="F37" s="123"/>
      <c r="G37" s="23">
        <f>(G35+G36)*'Fane 15. Nøgletal'!C26</f>
        <v>577250.43652326451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38552963.756211296</v>
      </c>
      <c r="H41" s="14" t="s">
        <v>3</v>
      </c>
      <c r="I41" s="1"/>
    </row>
    <row r="42" spans="1:9" x14ac:dyDescent="0.25">
      <c r="A42" s="1"/>
      <c r="B42" s="40" t="s">
        <v>156</v>
      </c>
      <c r="C42" s="79"/>
      <c r="D42" s="79"/>
      <c r="E42" s="79"/>
      <c r="F42" s="80"/>
      <c r="G42" s="63">
        <v>0</v>
      </c>
      <c r="H42" s="14" t="s">
        <v>3</v>
      </c>
      <c r="I42" s="1"/>
    </row>
    <row r="43" spans="1:9" x14ac:dyDescent="0.25">
      <c r="A43" s="1"/>
      <c r="B43" s="121" t="s">
        <v>132</v>
      </c>
      <c r="C43" s="122"/>
      <c r="D43" s="122"/>
      <c r="E43" s="122"/>
      <c r="F43" s="123"/>
      <c r="G43" s="23">
        <f>(G41)*'Fane 15. Nøgletal'!C26+G42*'Fane 15. Nøgletal'!C27</f>
        <v>570583.86359192722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41051356.187943019</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0</v>
      </c>
      <c r="H54" s="14" t="s">
        <v>3</v>
      </c>
      <c r="I54" s="1"/>
    </row>
    <row r="55" spans="1:9" x14ac:dyDescent="0.25">
      <c r="A55" s="1"/>
      <c r="B55" s="121" t="s">
        <v>218</v>
      </c>
      <c r="C55" s="122"/>
      <c r="D55" s="122"/>
      <c r="E55" s="122"/>
      <c r="F55" s="123"/>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44368305.767928816</v>
      </c>
      <c r="H59" s="14" t="s">
        <v>3</v>
      </c>
      <c r="I59" s="1"/>
    </row>
    <row r="60" spans="1:9" x14ac:dyDescent="0.25">
      <c r="A60" s="1"/>
      <c r="B60" s="121" t="s">
        <v>220</v>
      </c>
      <c r="C60" s="122"/>
      <c r="D60" s="122"/>
      <c r="E60" s="122"/>
      <c r="F60" s="123"/>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47953264.873977467</v>
      </c>
      <c r="H64" s="14" t="s">
        <v>3</v>
      </c>
      <c r="I64" s="1"/>
    </row>
    <row r="65" spans="1:9" x14ac:dyDescent="0.25">
      <c r="A65" s="1"/>
      <c r="B65" s="121" t="s">
        <v>222</v>
      </c>
      <c r="C65" s="122"/>
      <c r="D65" s="122"/>
      <c r="E65" s="122"/>
      <c r="F65" s="123"/>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51827888.675794847</v>
      </c>
      <c r="H69" s="14" t="s">
        <v>3</v>
      </c>
      <c r="I69" s="1"/>
    </row>
    <row r="70" spans="1:9" x14ac:dyDescent="0.25">
      <c r="A70" s="1"/>
      <c r="B70" s="121" t="s">
        <v>222</v>
      </c>
      <c r="C70" s="122"/>
      <c r="D70" s="122"/>
      <c r="E70" s="122"/>
      <c r="F70" s="123"/>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LsEu9k4eCikNkk9+pKkhjW1X6gAhBYvVFsUzw25aw0ZJQcsH406yjMns7eWY/3y/JxjshMQ8getnoOJ1W0XBfw==" saltValue="nmt3YUkSsxuhEdG+dgilE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OOVYOiGPR8zm9Fy4msLxuk0YrVO4Z5lYeo2RZXbww2rOq9HCoN5ElQsZtXsgkHMSobd9jgmuei/i3SCpQzWd6g==" saltValue="cjC4EDXKewChd3rzyaT86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2023-11-02T18:25:32Z</dcterms:modified>
</cp:coreProperties>
</file>