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Odsherred Spildevand AS (S074)\ØR2027\"/>
    </mc:Choice>
  </mc:AlternateContent>
  <xr:revisionPtr revIDLastSave="0" documentId="13_ncr:1_{EF3180E8-F27D-4B4B-90F2-E50EED2B00A1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2027'!$B$8:$D$23</definedName>
    <definedName name="ØR_Tabel_GE">'1. Økonomisk ramme 2027'!$B$16</definedName>
    <definedName name="ØR_Tabel_IE_SletUnder">'1. Økonomisk ramme 2027'!$B$15:$D$15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9" i="3" s="1"/>
  <c r="C16" i="6"/>
  <c r="C14" i="3" l="1"/>
  <c r="C13" i="3"/>
  <c r="C12" i="11"/>
  <c r="C20" i="3" s="1"/>
  <c r="C16" i="12"/>
  <c r="C21" i="3" s="1"/>
  <c r="E19" i="9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C12" i="13"/>
  <c r="C11" i="6" s="1"/>
  <c r="C12" i="6" s="1"/>
  <c r="C13" i="6" s="1"/>
  <c r="E12" i="13"/>
  <c r="C17" i="6" s="1"/>
  <c r="E21" i="9" l="1"/>
  <c r="E22" i="9" s="1"/>
  <c r="C10" i="3" s="1"/>
  <c r="C11" i="3"/>
  <c r="C18" i="6"/>
  <c r="C19" i="6" s="1"/>
  <c r="C20" i="6" s="1"/>
  <c r="C16" i="3" s="1"/>
  <c r="C15" i="3" l="1"/>
  <c r="C17" i="3" s="1"/>
  <c r="C18" i="3" s="1"/>
  <c r="C23" i="3" s="1"/>
</calcChain>
</file>

<file path=xl/sharedStrings.xml><?xml version="1.0" encoding="utf-8"?>
<sst xmlns="http://schemas.openxmlformats.org/spreadsheetml/2006/main" count="334" uniqueCount="154">
  <si>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</si>
  <si>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</si>
  <si>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</si>
  <si>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</si>
  <si>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</si>
  <si>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</si>
  <si>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</si>
  <si>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</si>
  <si>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</si>
  <si>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</si>
  <si>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</si>
  <si>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</si>
  <si>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</si>
  <si>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</si>
  <si>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</si>
  <si>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</si>
  <si>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</si>
  <si>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</si>
  <si>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</si>
  <si>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</si>
  <si>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</si>
  <si>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</si>
  <si>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</si>
  <si>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</si>
  <si>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</si>
  <si>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</si>
  <si>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</si>
  <si>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</si>
  <si>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</si>
  <si>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</si>
  <si>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</si>
  <si>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</si>
  <si>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</si>
  <si>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</si>
  <si>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</si>
  <si>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</si>
  <si>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</si>
  <si>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</si>
  <si>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</si>
  <si>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</si>
  <si>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</si>
  <si>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</si>
  <si>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</si>
  <si>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</si>
  <si>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</si>
  <si>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</si>
  <si>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</si>
  <si>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</si>
  <si>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</si>
  <si>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</si>
  <si>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</si>
  <si>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</si>
  <si>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</si>
  <si>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</si>
  <si>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</si>
  <si>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</si>
  <si>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</si>
  <si>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</si>
  <si>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</si>
  <si>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</si>
  <si>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</si>
  <si>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</si>
  <si>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</si>
  <si>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</si>
  <si>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</si>
  <si>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</si>
  <si>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</si>
  <si>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</si>
  <si>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</si>
  <si>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</si>
  <si>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</si>
  <si>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</si>
  <si>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</si>
  <si>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</si>
  <si>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</si>
  <si>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</si>
  <si>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</si>
  <si>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</si>
  <si>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</si>
  <si>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</si>
  <si>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</si>
  <si>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</si>
  <si>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</si>
  <si>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</si>
  <si>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</si>
  <si>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</si>
  <si>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</si>
  <si>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</si>
  <si>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</si>
  <si>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</si>
  <si>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</si>
  <si>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</si>
  <si>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</si>
  <si>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</si>
  <si>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</si>
  <si>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</si>
  <si>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</si>
  <si>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</si>
  <si>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</si>
  <si>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</si>
  <si>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</si>
  <si>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</si>
  <si>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</si>
  <si>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</si>
  <si>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</si>
  <si>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</si>
  <si>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</si>
  <si>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</si>
  <si>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</si>
  <si>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</si>
  <si>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</si>
  <si>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</si>
  <si>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</si>
  <si>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</si>
  <si>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</si>
  <si>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</si>
  <si>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</si>
  <si>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</si>
  <si>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</si>
  <si>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</si>
  <si>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</si>
  <si>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</si>
  <si>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</si>
  <si>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</si>
  <si>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</si>
  <si>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</si>
  <si>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</si>
  <si>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</si>
  <si>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</si>
  <si>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</si>
  <si>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</si>
  <si>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</si>
  <si>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</si>
  <si>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</si>
  <si>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</si>
  <si>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</si>
  <si>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</si>
  <si>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</si>
  <si>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</si>
  <si>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</si>
  <si>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</si>
  <si>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</si>
  <si>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</si>
  <si>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</si>
  <si>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</si>
  <si>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</si>
  <si>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Rettelser af mængder af anlægsaktiver i POLKA</t>
  </si>
  <si>
    <t>Havnebyen Renseanlæg</t>
  </si>
  <si>
    <t>Byggemodning</t>
  </si>
  <si>
    <t>Udvidelse af forsyningsområdet</t>
  </si>
  <si>
    <t>Gebyr til Miljøstyrelsen</t>
  </si>
  <si>
    <t xml:space="preserve">Note: En positiv saldo på differencekontoen angiver, at I (vandselskabet) har takstmidler til gode hos forbrugerne. En negativ saldo angiver omvendt, at forbrugerne har takstmidler til gode hos jer. </t>
  </si>
  <si>
    <t>Kloakering af sommerhusområde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</si>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</sst>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gPuv11RVxvnWXAMJ/SuW3ttnfq22FpT5FMzWvsOJj19di2kGfQGnXD20MNmCLIbvmOCm5sjPPuANhoI30OkPNw==" saltValue="vzZAzeZnOHVHlgC6mxI8C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107</v>
      </c>
      <c r="C8" s="84"/>
      <c r="D8" s="85"/>
      <c r="E8" s="11"/>
    </row>
    <row r="9" spans="1:5" ht="15" customHeight="1" x14ac:dyDescent="0.25">
      <c r="A9" s="11"/>
      <c r="B9" s="114" t="s">
        <v>108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109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gWOFi+cnGTv0A6zShty4nhq2IDGV333aoYh6ZhIjD0R5kUwQqhgN4ZZuKn3IL+qskdcoF+e5JbPmN1aC8VznoA==" saltValue="L1fRdubn5Mk7lrpdzPhEd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110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111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112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139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113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bPK5BMC+atHG1Fn5stj64s7z8mAPYGa/VeyXyqMFbYbihIpXNJWgGaJXXz/+P3dxcMl/hQVFSFsOsZpipniUHA==" saltValue="jdhC5dOOxNTbGqn0oeAoQ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114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oaEkENWbuIKX/+TCHDWATbxk4qen0YXqahwOxau0tWKrLBEEgoM5P1O7JYPK6TW7TORmfjc84/43L3qCugbv6A==" saltValue="mgktp7IiUKxfso7YogkHW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115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152</v>
      </c>
      <c r="C10" s="33">
        <v>0</v>
      </c>
      <c r="D10" s="46" t="s">
        <v>31</v>
      </c>
      <c r="E10" s="33">
        <v>97757</v>
      </c>
      <c r="F10" s="46" t="s">
        <v>31</v>
      </c>
      <c r="G10" s="11"/>
    </row>
    <row r="11" spans="1:7" ht="15" customHeight="1" x14ac:dyDescent="0.25">
      <c r="A11" s="11"/>
      <c r="B11" s="25" t="s">
        <v>72</v>
      </c>
      <c r="C11" s="100">
        <f>SUM(C10:C10)</f>
        <v>0</v>
      </c>
      <c r="D11" s="101" t="s">
        <v>31</v>
      </c>
      <c r="E11" s="100">
        <f>SUM(E10:E10)</f>
        <v>97757</v>
      </c>
      <c r="F11" s="101" t="s">
        <v>31</v>
      </c>
      <c r="G11" s="11"/>
    </row>
    <row r="12" spans="1:7" ht="15" customHeight="1" x14ac:dyDescent="0.25">
      <c r="A12" s="11"/>
      <c r="B12" s="25" t="s">
        <v>116</v>
      </c>
      <c r="C12" s="100">
        <f>C11*(1+'8. Nøgletal'!C9)</f>
        <v>0</v>
      </c>
      <c r="D12" s="101" t="s">
        <v>31</v>
      </c>
      <c r="E12" s="100">
        <f>E11*(1+'8. Nøgletal'!C9)</f>
        <v>100582.1773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/dwRA6wDRKYXPPnIg7OXnUdJMDeto+rqOdKzFRhXMXlF13PfmLUydoBeahNbD/xZp6AhxkuGTM+zpG9NUvgO0g==" saltValue="8Uo/MNQ6DpRQkHIfSQI9u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73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74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132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133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117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JNy6UHaoNxtvgsZds9TuH22d9Ks1X5MM2np9FT56ifK/UhtKMdkbUHM6WWuZx/usUjBPH9n38XemsSO2rO55nw==" saltValue="nLG4e8xoa0wO+JxpVa87T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75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76</v>
      </c>
      <c r="C9" s="4">
        <v>2.8899999999999999E-2</v>
      </c>
      <c r="D9" s="22"/>
    </row>
    <row r="10" spans="1:4" ht="15" customHeight="1" x14ac:dyDescent="0.25">
      <c r="A10" s="11"/>
      <c r="B10" s="133" t="s">
        <v>118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77</v>
      </c>
      <c r="C13" s="27"/>
      <c r="D13" s="11"/>
    </row>
    <row r="14" spans="1:4" ht="15" customHeight="1" x14ac:dyDescent="0.25">
      <c r="A14" s="11"/>
      <c r="B14" s="133" t="s">
        <v>78</v>
      </c>
      <c r="C14" s="5">
        <v>0</v>
      </c>
      <c r="D14" s="22"/>
    </row>
    <row r="15" spans="1:4" ht="15" customHeight="1" x14ac:dyDescent="0.25">
      <c r="A15" s="11"/>
      <c r="B15" s="133" t="s">
        <v>119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79</v>
      </c>
      <c r="C18" s="27"/>
      <c r="D18" s="11"/>
    </row>
    <row r="19" spans="1:4" ht="15" customHeight="1" x14ac:dyDescent="0.25">
      <c r="A19" s="11"/>
      <c r="B19" s="104" t="s">
        <v>80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81</v>
      </c>
      <c r="C23" s="8">
        <v>0</v>
      </c>
      <c r="D23" s="22"/>
    </row>
    <row r="24" spans="1:4" ht="15" customHeight="1" x14ac:dyDescent="0.25">
      <c r="A24" s="11"/>
      <c r="B24" s="44" t="s">
        <v>120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UuegHlTNTkuZnEek9eTLvmXMnndkoGqzE6kPa0Cq0fCT2N/XP+6Jub2k0WBjrwoLfa0hm6QPa5po6dX+V/+Png==" saltValue="cYJ4VzibVz7Xi8YHQ5zB9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79195147.811751932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7730808.436884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146</v>
      </c>
      <c r="C12" s="32">
        <v>4257766.3608681727</v>
      </c>
      <c r="D12" s="30" t="s">
        <v>31</v>
      </c>
      <c r="E12" s="11"/>
    </row>
    <row r="13" spans="1:5" ht="15" customHeight="1" x14ac:dyDescent="0.25">
      <c r="A13" s="11"/>
      <c r="B13" s="31" t="s">
        <v>24</v>
      </c>
      <c r="C13" s="33">
        <f>-('6. Bortfald'!C12+'6. Bortfald'!E12)</f>
        <v>-100582.1773</v>
      </c>
      <c r="D13" s="30" t="s">
        <v>31</v>
      </c>
      <c r="E13" s="11"/>
    </row>
    <row r="14" spans="1:5" ht="15" customHeight="1" x14ac:dyDescent="0.25">
      <c r="A14" s="11"/>
      <c r="B14" s="31" t="s">
        <v>34</v>
      </c>
      <c r="C14" s="33">
        <f>'7. Tilknyttet virksomhed'!C12+'7. Tilknyttet virksomhed'!E12</f>
        <v>0</v>
      </c>
      <c r="D14" s="30" t="s">
        <v>31</v>
      </c>
      <c r="E14" s="11"/>
    </row>
    <row r="15" spans="1:5" ht="15" customHeight="1" x14ac:dyDescent="0.25">
      <c r="A15" s="11"/>
      <c r="B15" s="31" t="s">
        <v>35</v>
      </c>
      <c r="C15" s="34">
        <f>-(SUM(C9:C14)*'8. Nøgletal'!C24)</f>
        <v>0</v>
      </c>
      <c r="D15" s="30" t="s">
        <v>31</v>
      </c>
      <c r="E15" s="11"/>
    </row>
    <row r="16" spans="1:5" ht="15" customHeight="1" x14ac:dyDescent="0.25">
      <c r="A16" s="11"/>
      <c r="B16" s="31" t="s">
        <v>36</v>
      </c>
      <c r="C16" s="34">
        <f>'4. Generelle eff. krav'!C20</f>
        <v>-665758.17290122015</v>
      </c>
      <c r="D16" s="30" t="s">
        <v>31</v>
      </c>
      <c r="E16" s="11"/>
    </row>
    <row r="17" spans="1:5" ht="15" customHeight="1" x14ac:dyDescent="0.25">
      <c r="A17" s="11"/>
      <c r="B17" s="31" t="s">
        <v>37</v>
      </c>
      <c r="C17" s="33">
        <f>SUM(C9:C16)*'8. Nøgletal'!C10</f>
        <v>2613062.3472938533</v>
      </c>
      <c r="D17" s="30" t="s">
        <v>31</v>
      </c>
      <c r="E17" s="11"/>
    </row>
    <row r="18" spans="1:5" ht="15" customHeight="1" x14ac:dyDescent="0.25">
      <c r="A18" s="11"/>
      <c r="B18" s="35" t="s">
        <v>38</v>
      </c>
      <c r="C18" s="36">
        <f>SUM(C9:C17)</f>
        <v>93030444.606596738</v>
      </c>
      <c r="D18" s="37" t="s">
        <v>31</v>
      </c>
      <c r="E18" s="11"/>
    </row>
    <row r="19" spans="1:5" ht="15" customHeight="1" x14ac:dyDescent="0.25">
      <c r="A19" s="11"/>
      <c r="B19" s="38" t="s">
        <v>39</v>
      </c>
      <c r="C19" s="34">
        <f>'5.1. § 10-tillæg'!C25</f>
        <v>0</v>
      </c>
      <c r="D19" s="39" t="s">
        <v>31</v>
      </c>
      <c r="E19" s="11"/>
    </row>
    <row r="20" spans="1:5" ht="15" customHeight="1" x14ac:dyDescent="0.25">
      <c r="A20" s="11"/>
      <c r="B20" s="40" t="s">
        <v>40</v>
      </c>
      <c r="C20" s="34">
        <f>'5.4. Periodevise driftsomk.'!C12</f>
        <v>0</v>
      </c>
      <c r="D20" s="39" t="s">
        <v>31</v>
      </c>
      <c r="E20" s="11"/>
    </row>
    <row r="21" spans="1:5" ht="15" customHeight="1" x14ac:dyDescent="0.25">
      <c r="A21" s="11"/>
      <c r="B21" s="28" t="s">
        <v>22</v>
      </c>
      <c r="C21" s="34">
        <f>'5.5. Korr. af ØR2025'!C16</f>
        <v>0</v>
      </c>
      <c r="D21" s="39" t="s">
        <v>31</v>
      </c>
      <c r="E21" s="11"/>
    </row>
    <row r="22" spans="1:5" ht="15" customHeight="1" x14ac:dyDescent="0.25">
      <c r="A22" s="11"/>
      <c r="B22" s="38" t="s">
        <v>42</v>
      </c>
      <c r="C22" s="34">
        <v>0</v>
      </c>
      <c r="D22" s="39" t="s">
        <v>31</v>
      </c>
      <c r="E22" s="11"/>
    </row>
    <row r="23" spans="1:5" ht="15" customHeight="1" x14ac:dyDescent="0.25">
      <c r="A23" s="11"/>
      <c r="B23" s="25" t="s">
        <v>4</v>
      </c>
      <c r="C23" s="41">
        <f>SUM(C18:C22)</f>
        <v>93030444.606596738</v>
      </c>
      <c r="D23" s="27" t="s">
        <v>31</v>
      </c>
      <c r="E23" s="11"/>
    </row>
    <row r="24" spans="1:5" ht="15" customHeight="1" x14ac:dyDescent="0.25">
      <c r="A24" s="11"/>
      <c r="B24" s="11"/>
      <c r="C24" s="11"/>
      <c r="D24" s="11"/>
      <c r="E24" s="11"/>
    </row>
    <row r="25" spans="1:5" ht="15" customHeight="1" x14ac:dyDescent="0.25">
      <c r="A25" s="11"/>
      <c r="B25" s="11"/>
      <c r="C25" s="11"/>
      <c r="D25" s="11"/>
      <c r="E25" s="11"/>
    </row>
  </sheetData>
  <sheetProtection algorithmName="SHA-512" hashValue="B+9CF4cQYWs+8NQkuwDLkMGgO2l364MkhrWRYtrN5bLTvA7E8SR8srPO6qqvMXBD7vgLo8qu80khshpLar2qFA==" saltValue="K5AxAMWpEu1H0QRfClVyC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3.7109375" style="12" customWidth="1"/>
    <col min="3" max="3" width="12.42578125" style="12" customWidth="1"/>
    <col min="4" max="4" width="4.425781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82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83</v>
      </c>
      <c r="C8" s="26"/>
      <c r="D8" s="27"/>
      <c r="E8" s="11"/>
    </row>
    <row r="9" spans="1:5" ht="15" customHeight="1" x14ac:dyDescent="0.25">
      <c r="A9" s="11"/>
      <c r="B9" s="44" t="s">
        <v>127</v>
      </c>
      <c r="C9" s="45">
        <v>74027474</v>
      </c>
      <c r="D9" s="46" t="s">
        <v>31</v>
      </c>
      <c r="E9" s="11"/>
    </row>
    <row r="10" spans="1:5" ht="15" customHeight="1" x14ac:dyDescent="0.25">
      <c r="A10" s="11"/>
      <c r="B10" s="44" t="s">
        <v>129</v>
      </c>
      <c r="C10" s="45">
        <f>'3. Omk. i ØR2026'!C10</f>
        <v>4202819.1488895407</v>
      </c>
      <c r="D10" s="46" t="s">
        <v>31</v>
      </c>
      <c r="E10" s="11"/>
    </row>
    <row r="11" spans="1:5" ht="15" customHeight="1" x14ac:dyDescent="0.25">
      <c r="A11" s="11"/>
      <c r="B11" s="44" t="s">
        <v>130</v>
      </c>
      <c r="C11" s="47">
        <f>'5.1. § 10-tillæg'!C20+'5.2. Varige tillæg'!C18+'5.2. Varige tillæg'!E18+'5.3. Engangstillæg'!C13+'5.3. Engangstillæg'!E13</f>
        <v>10605962.970846124</v>
      </c>
      <c r="D11" s="46" t="s">
        <v>31</v>
      </c>
      <c r="E11" s="11"/>
    </row>
    <row r="12" spans="1:5" ht="15" customHeight="1" x14ac:dyDescent="0.25">
      <c r="A12" s="11"/>
      <c r="B12" s="35" t="s">
        <v>128</v>
      </c>
      <c r="C12" s="36">
        <f>C9+C10+C11</f>
        <v>88836256.119735658</v>
      </c>
      <c r="D12" s="37" t="s">
        <v>31</v>
      </c>
      <c r="E12" s="11"/>
    </row>
    <row r="13" spans="1:5" ht="15" customHeight="1" x14ac:dyDescent="0.25">
      <c r="A13" s="11"/>
      <c r="B13" s="44" t="s">
        <v>84</v>
      </c>
      <c r="C13" s="45">
        <v>72547474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131</v>
      </c>
      <c r="C15" s="41">
        <f>C12-C13</f>
        <v>16288782.119735658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85</v>
      </c>
      <c r="C17" s="26"/>
      <c r="D17" s="27"/>
      <c r="E17" s="11"/>
    </row>
    <row r="18" spans="1:5" ht="15" customHeight="1" x14ac:dyDescent="0.25">
      <c r="A18" s="11"/>
      <c r="B18" s="44" t="s">
        <v>126</v>
      </c>
      <c r="C18" s="45">
        <v>21354949</v>
      </c>
      <c r="D18" s="46" t="s">
        <v>31</v>
      </c>
      <c r="E18" s="11"/>
    </row>
    <row r="19" spans="1:5" ht="15" customHeight="1" x14ac:dyDescent="0.25">
      <c r="A19" s="11"/>
      <c r="B19" s="25" t="s">
        <v>140</v>
      </c>
      <c r="C19" s="41">
        <f>C15+C18</f>
        <v>37643731.119735658</v>
      </c>
      <c r="D19" s="27" t="s">
        <v>31</v>
      </c>
      <c r="E19" s="11"/>
    </row>
    <row r="20" spans="1:5" ht="29.25" customHeight="1" x14ac:dyDescent="0.25">
      <c r="A20" s="11"/>
      <c r="B20" s="49" t="s">
        <v>151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141</v>
      </c>
      <c r="C22" s="26"/>
      <c r="D22" s="27"/>
      <c r="E22" s="11"/>
    </row>
    <row r="23" spans="1:5" x14ac:dyDescent="0.25">
      <c r="A23" s="11"/>
      <c r="B23" s="52" t="s">
        <v>142</v>
      </c>
      <c r="C23" s="53">
        <f>100*21354949/(70409926+7910319)</f>
        <v>27.266192796000574</v>
      </c>
      <c r="D23" s="46" t="s">
        <v>143</v>
      </c>
      <c r="E23" s="11"/>
    </row>
    <row r="24" spans="1:5" x14ac:dyDescent="0.25">
      <c r="A24" s="11"/>
      <c r="B24" s="52" t="s">
        <v>144</v>
      </c>
      <c r="C24" s="53">
        <f>C19/C12*100</f>
        <v>42.374288116102647</v>
      </c>
      <c r="D24" s="46" t="s">
        <v>143</v>
      </c>
      <c r="E24" s="11"/>
    </row>
    <row r="25" spans="1:5" ht="56.25" customHeight="1" x14ac:dyDescent="0.25">
      <c r="A25" s="11"/>
      <c r="B25" s="54" t="s">
        <v>145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/tJHmkUgZ/3Md/BTwdAel8Cl/l5r7EmzZdd6pdieSWwxY7wcXbhSokBnc5Cqj5yrwcPWvSV6JKhFv31C9TAUqw==" saltValue="RLTjRGvgGHwbopDzwqf8Q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86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134</v>
      </c>
      <c r="C8" s="60"/>
      <c r="D8" s="61"/>
      <c r="E8" s="57"/>
    </row>
    <row r="9" spans="1:5" ht="15" customHeight="1" x14ac:dyDescent="0.25">
      <c r="A9" s="57"/>
      <c r="B9" s="62" t="s">
        <v>121</v>
      </c>
      <c r="C9" s="63">
        <v>73299809.605435401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4202819.1488895407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-531934.02038390539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2224453.0778108956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79195147.811751932</v>
      </c>
      <c r="D17" s="71" t="s">
        <v>31</v>
      </c>
      <c r="E17" s="57"/>
    </row>
    <row r="18" spans="1:5" ht="15" customHeight="1" x14ac:dyDescent="0.25">
      <c r="A18" s="57"/>
      <c r="B18" s="72" t="s">
        <v>122</v>
      </c>
      <c r="C18" s="68">
        <v>0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123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153</v>
      </c>
      <c r="C23" s="78">
        <v>79195147.811751932</v>
      </c>
      <c r="D23" s="61" t="s">
        <v>31</v>
      </c>
      <c r="E23" s="57"/>
    </row>
    <row r="24" spans="1:5" ht="30" customHeight="1" x14ac:dyDescent="0.25">
      <c r="A24" s="57"/>
      <c r="B24" s="79" t="s">
        <v>135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ZJWW298dDlh2WnAhWqtf5PJRIOdwz4h2a8nDRQYwwnIeNWWMr3/J4Pl4edyzUqsX49un72+9eR+FZ5IfGk20Tw==" saltValue="FwcXKBTH4fJg0ldYMuQf2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87</v>
      </c>
      <c r="C8" s="84"/>
      <c r="D8" s="85"/>
      <c r="E8" s="11"/>
    </row>
    <row r="9" spans="1:5" ht="15" customHeight="1" x14ac:dyDescent="0.25">
      <c r="A9" s="11"/>
      <c r="B9" s="52" t="s">
        <v>88</v>
      </c>
      <c r="C9" s="2">
        <v>27365345.678650007</v>
      </c>
      <c r="D9" s="46" t="s">
        <v>31</v>
      </c>
      <c r="E9" s="11"/>
    </row>
    <row r="10" spans="1:5" ht="15" customHeight="1" x14ac:dyDescent="0.25">
      <c r="A10" s="11"/>
      <c r="B10" s="86" t="s">
        <v>89</v>
      </c>
      <c r="C10" s="3">
        <f>-'8. Nøgletal'!C19*C9</f>
        <v>-547306.91357300011</v>
      </c>
      <c r="D10" s="46" t="s">
        <v>31</v>
      </c>
      <c r="E10" s="11"/>
    </row>
    <row r="11" spans="1:5" ht="15" customHeight="1" x14ac:dyDescent="0.25">
      <c r="A11" s="11"/>
      <c r="B11" s="86" t="s">
        <v>90</v>
      </c>
      <c r="C11" s="2">
        <f>('5.2. Varige tillæg'!C18)*(1+'8. Nøgletal'!C9)*(1-'8. Nøgletal'!C19)+'5.6 Anlægsprojekter'!C12-'6. Bortfald'!C12+'7. Tilknyttet virksomhed'!C12</f>
        <v>6469869.8799839998</v>
      </c>
      <c r="D11" s="46" t="s">
        <v>31</v>
      </c>
      <c r="E11" s="11"/>
    </row>
    <row r="12" spans="1:5" ht="15" customHeight="1" x14ac:dyDescent="0.25">
      <c r="A12" s="11"/>
      <c r="B12" s="52" t="s">
        <v>91</v>
      </c>
      <c r="C12" s="2">
        <f>SUM(C9:C11)</f>
        <v>33287908.645061005</v>
      </c>
      <c r="D12" s="46" t="s">
        <v>31</v>
      </c>
      <c r="E12" s="11"/>
    </row>
    <row r="13" spans="1:5" ht="15" customHeight="1" x14ac:dyDescent="0.25">
      <c r="A13" s="11"/>
      <c r="B13" s="87" t="s">
        <v>92</v>
      </c>
      <c r="C13" s="88">
        <f>-C12*'8. Nøgletal'!C19</f>
        <v>-665758.17290122015</v>
      </c>
      <c r="D13" s="89" t="s">
        <v>31</v>
      </c>
      <c r="E13" s="90"/>
    </row>
    <row r="14" spans="1:5" ht="15" customHeight="1" x14ac:dyDescent="0.25">
      <c r="A14" s="11"/>
      <c r="B14" s="83" t="s">
        <v>93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60547889.247742049</v>
      </c>
      <c r="D15" s="46" t="s">
        <v>31</v>
      </c>
      <c r="E15" s="11"/>
    </row>
    <row r="16" spans="1:5" ht="15" customHeight="1" x14ac:dyDescent="0.25">
      <c r="A16" s="11"/>
      <c r="B16" s="86" t="s">
        <v>89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94</v>
      </c>
      <c r="C17" s="2">
        <f>('5.2. Varige tillæg'!E18)*(1+'8. Nøgletal'!C9)*(1-'8. Nøgletal'!C14)+'5.6 Anlægsprojekter'!E12-'6. Bortfald'!E12+'7. Tilknyttet virksomhed'!E12+'1. Økonomisk ramme 2027'!C12</f>
        <v>5418122.7404681724</v>
      </c>
      <c r="D17" s="46" t="s">
        <v>31</v>
      </c>
      <c r="E17" s="11"/>
    </row>
    <row r="18" spans="1:5" ht="15" customHeight="1" x14ac:dyDescent="0.25">
      <c r="A18" s="11"/>
      <c r="B18" s="52" t="s">
        <v>95</v>
      </c>
      <c r="C18" s="2">
        <f>SUM(C15:C17)</f>
        <v>65966011.988210224</v>
      </c>
      <c r="D18" s="46" t="s">
        <v>31</v>
      </c>
      <c r="E18" s="11"/>
    </row>
    <row r="19" spans="1:5" ht="15" customHeight="1" x14ac:dyDescent="0.25">
      <c r="A19" s="11"/>
      <c r="B19" s="87" t="s">
        <v>96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97</v>
      </c>
      <c r="C20" s="41">
        <f>C13+C19</f>
        <v>-665758.17290122015</v>
      </c>
      <c r="D20" s="27" t="s">
        <v>31</v>
      </c>
      <c r="E20" s="11"/>
    </row>
    <row r="21" spans="1:5" ht="39.950000000000003" customHeight="1" x14ac:dyDescent="0.25">
      <c r="A21" s="11"/>
      <c r="B21" s="91" t="s">
        <v>124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FHczkEoatoJRZdw4tFk100vyi5Pd5EzrlyJYJn09K1lphd5H3ryAu5ZH6nolkDHOujghhMwpI7AcWOck1H6AJQ==" saltValue="/agLugU7Id3X0guwfetEj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98</v>
      </c>
      <c r="C8" s="95"/>
      <c r="D8" s="96"/>
      <c r="E8" s="11"/>
    </row>
    <row r="9" spans="1:5" ht="15" customHeight="1" x14ac:dyDescent="0.25">
      <c r="A9" s="11"/>
      <c r="B9" s="97" t="s">
        <v>136</v>
      </c>
      <c r="C9" s="33">
        <f>'5.1.a. § 10-tillæg'!E9</f>
        <v>717825.17304336501</v>
      </c>
      <c r="D9" s="46" t="s">
        <v>31</v>
      </c>
      <c r="E9" s="11"/>
    </row>
    <row r="10" spans="1:5" ht="15" customHeight="1" x14ac:dyDescent="0.25">
      <c r="A10" s="11"/>
      <c r="B10" s="97" t="s">
        <v>137</v>
      </c>
      <c r="C10" s="33">
        <f>'5.1.a. § 10-tillæg'!E10</f>
        <v>3469.8897240299993</v>
      </c>
      <c r="D10" s="46" t="s">
        <v>31</v>
      </c>
      <c r="E10" s="11"/>
    </row>
    <row r="11" spans="1:5" ht="15" customHeight="1" x14ac:dyDescent="0.25">
      <c r="A11" s="11"/>
      <c r="B11" s="97" t="s">
        <v>138</v>
      </c>
      <c r="C11" s="33">
        <f>'5.1.a. § 10-tillæg'!E11</f>
        <v>176837.90807872999</v>
      </c>
      <c r="D11" s="46" t="s">
        <v>31</v>
      </c>
      <c r="E11" s="11"/>
    </row>
    <row r="12" spans="1:5" ht="15" customHeight="1" x14ac:dyDescent="0.25">
      <c r="A12" s="11"/>
      <c r="B12" s="97" t="s">
        <v>150</v>
      </c>
      <c r="C12" s="98">
        <v>62805</v>
      </c>
      <c r="D12" s="46" t="s">
        <v>31</v>
      </c>
      <c r="E12" s="11"/>
    </row>
    <row r="13" spans="1:5" ht="15" customHeight="1" x14ac:dyDescent="0.25">
      <c r="A13" s="11"/>
      <c r="B13" s="99"/>
      <c r="C13" s="98"/>
      <c r="D13" s="46" t="s">
        <v>31</v>
      </c>
      <c r="E13" s="11"/>
    </row>
    <row r="14" spans="1:5" ht="15" customHeight="1" x14ac:dyDescent="0.25">
      <c r="A14" s="11"/>
      <c r="B14" s="99"/>
      <c r="C14" s="98"/>
      <c r="D14" s="46" t="s">
        <v>31</v>
      </c>
      <c r="E14" s="11"/>
    </row>
    <row r="15" spans="1:5" ht="15" customHeight="1" x14ac:dyDescent="0.25">
      <c r="A15" s="11"/>
      <c r="B15" s="99"/>
      <c r="C15" s="98"/>
      <c r="D15" s="46" t="s">
        <v>31</v>
      </c>
      <c r="E15" s="11"/>
    </row>
    <row r="16" spans="1:5" ht="15" customHeight="1" x14ac:dyDescent="0.25">
      <c r="A16" s="11"/>
      <c r="B16" s="99"/>
      <c r="C16" s="98"/>
      <c r="D16" s="46" t="s">
        <v>31</v>
      </c>
      <c r="E16" s="11"/>
    </row>
    <row r="17" spans="1:5" ht="15" customHeight="1" x14ac:dyDescent="0.25">
      <c r="A17" s="11"/>
      <c r="B17" s="99"/>
      <c r="C17" s="98"/>
      <c r="D17" s="46" t="s">
        <v>31</v>
      </c>
      <c r="E17" s="11"/>
    </row>
    <row r="18" spans="1:5" ht="15" customHeight="1" x14ac:dyDescent="0.25">
      <c r="A18" s="11"/>
      <c r="B18" s="99"/>
      <c r="C18" s="98"/>
      <c r="D18" s="46" t="s">
        <v>31</v>
      </c>
      <c r="E18" s="11"/>
    </row>
    <row r="19" spans="1:5" ht="15" customHeight="1" x14ac:dyDescent="0.25">
      <c r="A19" s="11"/>
      <c r="B19" s="99"/>
      <c r="C19" s="98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960937.97084612504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0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9zyzMSbwRlOtIl1BFzUz36em58Jsmi0+I107QrkWmplfV9TgEIAOCRyuXzIqhl7hAGtVwYuAe/2wuQyrEc2DaA==" saltValue="2L4Jg+5ZiHN93tEUX2Rb4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99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125</v>
      </c>
      <c r="C8" s="106" t="s">
        <v>100</v>
      </c>
      <c r="D8" s="107" t="s">
        <v>101</v>
      </c>
      <c r="E8" s="107" t="s">
        <v>102</v>
      </c>
      <c r="F8" s="27"/>
      <c r="G8" s="11"/>
    </row>
    <row r="9" spans="1:7" ht="15" customHeight="1" x14ac:dyDescent="0.25">
      <c r="A9" s="11"/>
      <c r="B9" s="97" t="s">
        <v>136</v>
      </c>
      <c r="C9" s="33">
        <v>134155.82695663499</v>
      </c>
      <c r="D9" s="33">
        <v>851981</v>
      </c>
      <c r="E9" s="33">
        <f>MAX(D9-C9,0)</f>
        <v>717825.17304336501</v>
      </c>
      <c r="F9" s="46" t="s">
        <v>31</v>
      </c>
      <c r="G9" s="11"/>
    </row>
    <row r="10" spans="1:7" ht="15" customHeight="1" x14ac:dyDescent="0.25">
      <c r="A10" s="11"/>
      <c r="B10" s="97" t="s">
        <v>137</v>
      </c>
      <c r="C10" s="33">
        <v>71418.110275970001</v>
      </c>
      <c r="D10" s="33">
        <v>74888</v>
      </c>
      <c r="E10" s="33">
        <f t="shared" ref="E10:E19" si="0">MAX(D10-C10,0)</f>
        <v>3469.8897240299993</v>
      </c>
      <c r="F10" s="46" t="s">
        <v>31</v>
      </c>
      <c r="G10" s="11"/>
    </row>
    <row r="11" spans="1:7" ht="15" customHeight="1" x14ac:dyDescent="0.25">
      <c r="A11" s="11"/>
      <c r="B11" s="97" t="s">
        <v>138</v>
      </c>
      <c r="C11" s="33">
        <v>522089.09192127001</v>
      </c>
      <c r="D11" s="33">
        <v>698927</v>
      </c>
      <c r="E11" s="33">
        <f t="shared" si="0"/>
        <v>176837.90807872999</v>
      </c>
      <c r="F11" s="46" t="s">
        <v>31</v>
      </c>
      <c r="G11" s="11"/>
    </row>
    <row r="12" spans="1:7" ht="15" hidden="1" customHeight="1" x14ac:dyDescent="0.25">
      <c r="A12" s="11"/>
      <c r="B12" s="97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9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9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103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UDjUf3GEdhgzL27kriOQD5FP2oz5jXQKc+cJ+Y4YPv5k/ysvoOG6rraGI35DPTD+brI3ChAiCJZOqdMs+5BcHw==" saltValue="o0yanfsTjGEOvl0UhinE5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147</v>
      </c>
      <c r="C10" s="33">
        <v>0</v>
      </c>
      <c r="D10" s="46" t="s">
        <v>31</v>
      </c>
      <c r="E10" s="33">
        <v>1184873</v>
      </c>
      <c r="F10" s="46" t="s">
        <v>31</v>
      </c>
      <c r="G10" s="11"/>
    </row>
    <row r="11" spans="1:7" ht="15" customHeight="1" x14ac:dyDescent="0.25">
      <c r="A11" s="11"/>
      <c r="B11" s="112" t="s">
        <v>148</v>
      </c>
      <c r="C11" s="33">
        <v>0</v>
      </c>
      <c r="D11" s="46" t="s">
        <v>31</v>
      </c>
      <c r="E11" s="33">
        <v>40648</v>
      </c>
      <c r="F11" s="46" t="s">
        <v>31</v>
      </c>
      <c r="G11" s="11"/>
    </row>
    <row r="12" spans="1:7" ht="15" customHeight="1" x14ac:dyDescent="0.25">
      <c r="A12" s="11"/>
      <c r="B12" s="112" t="s">
        <v>149</v>
      </c>
      <c r="C12" s="33">
        <v>6015866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20</v>
      </c>
      <c r="C13" s="33">
        <v>400606</v>
      </c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104</v>
      </c>
      <c r="C18" s="100">
        <f>SUM(C10:C17)</f>
        <v>6416472</v>
      </c>
      <c r="D18" s="101" t="s">
        <v>31</v>
      </c>
      <c r="E18" s="100">
        <f>SUM(E10:E17)</f>
        <v>1225521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-128329.44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181727.31998399997</v>
      </c>
      <c r="D21" s="46" t="s">
        <v>31</v>
      </c>
      <c r="E21" s="33">
        <f>SUM(E18:E20)*'8. Nøgletal'!C9</f>
        <v>35417.556899999996</v>
      </c>
      <c r="F21" s="46" t="s">
        <v>31</v>
      </c>
      <c r="G21" s="11"/>
    </row>
    <row r="22" spans="1:7" ht="26.25" customHeight="1" x14ac:dyDescent="0.25">
      <c r="A22" s="11"/>
      <c r="B22" s="105" t="s">
        <v>105</v>
      </c>
      <c r="C22" s="100">
        <f>SUM(C18:C21)</f>
        <v>6469869.8799839998</v>
      </c>
      <c r="D22" s="101" t="s">
        <v>31</v>
      </c>
      <c r="E22" s="100">
        <f>SUM(E18:E21)</f>
        <v>1260938.5569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IvKzOgRP2GcBLD4d0hr+8dVXOlP+C2hg3WsQ6PhPnMwM1I6xO9vO/rzNW4g5nz9o2gY3Ykwozm5lYAa9i+NIpQ==" saltValue="wBnIH+bYwDcqzT58XOeku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20</v>
      </c>
      <c r="C10" s="33">
        <v>2003032</v>
      </c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106</v>
      </c>
      <c r="C13" s="100">
        <f>SUM(C10:C12)</f>
        <v>2003032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ryvpVSZSY+JfxjpoP08p7dMYZTMxWYc7zX0IpTHzX5kda016Uan4bEzK/7DZsTZ1SnK1N/R7xso6y/kBC3bENw==" saltValue="yLlhAWKzsqB5VqTeSFtQ4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2026-08-28T11:13:38Z</dcterms:modified>
</cp:coreProperties>
</file>