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Verdo Vand AS (V206)\ØR2024\"/>
    </mc:Choice>
  </mc:AlternateContent>
  <xr:revisionPtr revIDLastSave="0" documentId="13_ncr:1_{E421A58C-3799-4C2E-88B1-5B41DBC77F4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G24" i="36" l="1"/>
  <c r="G25" i="36"/>
  <c r="G13" i="30" l="1"/>
  <c r="G17" i="30" s="1"/>
  <c r="G20" i="30" s="1"/>
  <c r="G24" i="30" s="1"/>
  <c r="G26" i="30" l="1"/>
  <c r="G30" i="30" s="1"/>
  <c r="E23" i="42"/>
  <c r="E31" i="42" s="1"/>
  <c r="E33" i="42" s="1"/>
  <c r="C17" i="22" s="1"/>
  <c r="C17" i="15" l="1"/>
  <c r="E27" i="42"/>
  <c r="C29" i="2" s="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C10" i="2" l="1"/>
  <c r="E13" i="21"/>
  <c r="E14" i="21" s="1"/>
  <c r="C13" i="21"/>
  <c r="C14" i="21" s="1"/>
  <c r="C11" i="2" l="1"/>
  <c r="C12" i="2"/>
  <c r="G48" i="36" s="1"/>
  <c r="C24" i="2" l="1"/>
  <c r="C26" i="2" s="1"/>
  <c r="C27" i="2" l="1"/>
  <c r="G23" i="36" l="1"/>
  <c r="G29" i="36" s="1"/>
  <c r="G32" i="30"/>
  <c r="G31" i="36" l="1"/>
  <c r="G35" i="36" s="1"/>
  <c r="G36" i="30" l="1"/>
  <c r="G38" i="30" l="1"/>
  <c r="G42" i="30" s="1"/>
  <c r="C9" i="2"/>
  <c r="C13" i="2"/>
  <c r="G49" i="30" l="1"/>
  <c r="C21" i="2"/>
  <c r="G44" i="30" l="1"/>
  <c r="G48" i="30" s="1"/>
  <c r="G50" i="30" s="1"/>
  <c r="C17" i="2" l="1"/>
  <c r="G37" i="36"/>
  <c r="G41" i="36" s="1"/>
  <c r="G54" i="30" l="1"/>
  <c r="G55" i="30" s="1"/>
  <c r="G43" i="36"/>
  <c r="G47" i="36" s="1"/>
  <c r="G59" i="30" l="1"/>
  <c r="G60" i="30" s="1"/>
  <c r="C11" i="15"/>
  <c r="G49" i="36"/>
  <c r="C18" i="2" s="1"/>
  <c r="C15" i="2"/>
  <c r="G53" i="36" l="1"/>
  <c r="G54" i="36" s="1"/>
  <c r="G64" i="30"/>
  <c r="G65"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<sst xmlns="http://schemas.openxmlformats.org/spreadsheetml/2006/main" count="552" uniqueCount="263">
  <si>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</si>
  <si>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</si>
  <si>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</si>
  <si>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</si>
  <si>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</si>
  <si>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</si>
  <si>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</si>
  <si>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</si>
  <si>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</si>
  <si>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</si>
  <si>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</si>
  <si>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</si>
  <si>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</si>
  <si>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</si>
  <si>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</si>
  <si>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</si>
  <si>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</si>
  <si>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</si>
  <si>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</si>
  <si>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</si>
  <si>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</si>
  <si>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</si>
  <si>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</si>
  <si>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</si>
  <si>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</si>
  <si>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</si>
  <si>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</si>
  <si>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</si>
  <si>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</si>
  <si>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</si>
  <si>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</si>
  <si>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</si>
  <si>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</si>
  <si>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</si>
  <si>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</si>
  <si>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</si>
  <si>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</si>
  <si>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</si>
  <si>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</si>
  <si>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</si>
  <si>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</si>
  <si>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</si>
  <si>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</si>
  <si>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</si>
  <si>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</si>
  <si>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</si>
  <si>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</si>
  <si>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</si>
  <si>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</si>
  <si>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</si>
  <si>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</si>
  <si>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</si>
  <si>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</si>
  <si>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</si>
  <si>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</si>
  <si>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</si>
  <si>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</si>
  <si>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</si>
  <si>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</si>
  <si>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</si>
  <si>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</si>
  <si>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</si>
  <si>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</si>
  <si>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</si>
  <si>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</si>
  <si>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</si>
  <si>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</si>
  <si>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</si>
  <si>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</si>
  <si>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</si>
  <si>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</si>
  <si>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</si>
  <si>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</si>
  <si>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</si>
  <si>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</si>
  <si>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</si>
  <si>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</si>
  <si>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</si>
  <si>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</si>
  <si>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</si>
  <si>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</si>
  <si>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</si>
  <si>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</si>
  <si>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</si>
  <si>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</si>
  <si>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</si>
  <si>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</si>
  <si>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</si>
  <si>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</si>
  <si>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</si>
  <si>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</si>
  <si>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</si>
  <si>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</si>
  <si>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</si>
  <si>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</si>
  <si>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</si>
  <si>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</si>
  <si>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</si>
  <si>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</si>
  <si>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</si>
  <si>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</si>
  <si>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</si>
  <si>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</si>
  <si>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</si>
  <si>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</si>
  <si>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</si>
  <si>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</si>
  <si>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</si>
  <si>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</si>
  <si>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</si>
  <si>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</si>
  <si>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</si>
  <si>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</si>
  <si>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</si>
  <si>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</si>
  <si>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</si>
  <si>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</si>
  <si>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</si>
  <si>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</si>
  <si>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</si>
  <si>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</si>
  <si>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</si>
  <si>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</si>
  <si>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</si>
  <si>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</si>
  <si>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</si>
  <si>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</si>
  <si>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</si>
  <si>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</si>
  <si>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</si>
  <si>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</si>
  <si>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</si>
  <si>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</si>
  <si>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</si>
  <si>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</si>
  <si>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</si>
  <si>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</si>
  <si>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</si>
  <si>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</si>
  <si>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</si>
  <si>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</si>
  <si>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</si>
  <si>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</si>
  <si>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</si>
  <si>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</si>
  <si>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</si>
  <si>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</si>
  <si>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</si>
  <si>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</si>
  <si>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</si>
  <si>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</si>
  <si>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</si>
  <si>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</si>
  <si>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</si>
  <si>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</si>
  <si>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</si>
  <si>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</si>
  <si>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</si>
  <si>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</si>
  <si>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</si>
  <si>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</si>
  <si>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</si>
  <si>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</si>
  <si>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</si>
  <si>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</si>
  <si>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</si>
  <si>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</si>
  <si>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</si>
  <si>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</si>
  <si>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</si>
  <si>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</si>
  <si>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</si>
  <si>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</si>
  <si>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</si>
  <si>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</si>
  <si>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</si>
  <si>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</si>
  <si>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</si>
  <si>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</si>
  <si>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</si>
  <si>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</si>
  <si>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</si>
  <si>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</si>
  <si>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</si>
  <si>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</si>
  <si>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</si>
  <si>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</si>
  <si>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</si>
  <si>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</si>
  <si>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</si>
  <si>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</si>
  <si>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</si>
  <si>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</si>
  <si>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</si>
  <si>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</si>
  <si>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</si>
  <si>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</si>
  <si>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</si>
  <si>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</si>
  <si>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</si>
  <si>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</si>
  <si>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</si>
  <si>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</si>
  <si>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</si>
  <si>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</si>
  <si>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</si>
  <si>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</si>
  <si>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</si>
  <si>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</si>
  <si>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</si>
  <si>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</si>
  <si>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</si>
  <si>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</si>
  <si>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</si>
  <si>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</si>
  <si>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</si>
  <si>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</si>
  <si>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</si>
  <si>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</si>
  <si>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</si>
  <si>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</si>
  <si>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</si>
  <si>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</si>
  <si>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</si>
  <si>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</si>
  <si>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</si>
  <si>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</si>
  <si>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</si>
  <si>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</si>
  <si>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</si>
  <si>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</si>
  <si>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</si>
  <si>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</si>
  <si>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</si>
  <si>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</si>
  <si>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</si>
  <si>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</si>
  <si>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</si>
  <si>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</si>
  <si>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</si>
  <si>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</si>
  <si>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</si>
  <si>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</si>
  <si>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</si>
  <si>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</si>
  <si>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</si>
  <si>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Tjenestemandspensioner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</si>
  <si>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</si>
  <si>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</si>
  <si>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</si>
  <si>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</si>
  <si>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</si>
  <si>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</si>
  <si>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</si>
  <si>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</si>
  <si>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</si>
  <si>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</si>
  <si>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</si>
  <si>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</si>
  <si>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</si>
  <si>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Udvidelse af forsyningsområde</t>
  </si>
  <si>
    <t xml:space="preserve">Periodevise driftsomkostninger </t>
  </si>
  <si>
    <t>- heraf driftsomkostninger for Fyrrebakkens Vandværk for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</si>
</sst>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3" t="s">
        <v>235</v>
      </c>
      <c r="E8" s="93"/>
      <c r="F8" s="93"/>
      <c r="G8" s="9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2" t="s">
        <v>5</v>
      </c>
      <c r="E11" s="92"/>
      <c r="F11" s="92"/>
      <c r="G11" s="92"/>
      <c r="H11" s="5"/>
      <c r="I11" s="1"/>
    </row>
    <row r="12" spans="1:9" x14ac:dyDescent="0.25">
      <c r="A12" s="1"/>
      <c r="B12" s="1"/>
      <c r="C12" s="1"/>
      <c r="D12" s="1"/>
      <c r="E12" s="1"/>
      <c r="F12" s="1"/>
      <c r="G12" s="1"/>
      <c r="H12" s="1"/>
      <c r="I12" s="1"/>
    </row>
    <row r="13" spans="1:9" x14ac:dyDescent="0.25">
      <c r="A13" s="1"/>
      <c r="B13" s="1"/>
      <c r="C13" s="6" t="s">
        <v>6</v>
      </c>
      <c r="D13" s="88" t="s">
        <v>162</v>
      </c>
      <c r="E13" s="89"/>
      <c r="F13" s="89"/>
      <c r="G13" s="90"/>
      <c r="H13" s="1"/>
      <c r="I13" s="1"/>
    </row>
    <row r="14" spans="1:9" x14ac:dyDescent="0.25">
      <c r="A14" s="1"/>
      <c r="B14" s="1"/>
      <c r="C14" s="6" t="s">
        <v>14</v>
      </c>
      <c r="D14" s="88" t="s">
        <v>197</v>
      </c>
      <c r="E14" s="89"/>
      <c r="F14" s="89"/>
      <c r="G14" s="90"/>
      <c r="H14" s="1"/>
      <c r="I14" s="1"/>
    </row>
    <row r="15" spans="1:9" x14ac:dyDescent="0.25">
      <c r="A15" s="1"/>
      <c r="B15" s="1"/>
      <c r="C15" s="6" t="s">
        <v>30</v>
      </c>
      <c r="D15" s="88" t="s">
        <v>141</v>
      </c>
      <c r="E15" s="89"/>
      <c r="F15" s="89"/>
      <c r="G15" s="90"/>
      <c r="H15" s="1"/>
      <c r="I15" s="1"/>
    </row>
    <row r="16" spans="1:9" x14ac:dyDescent="0.25">
      <c r="A16" s="1"/>
      <c r="B16" s="1"/>
      <c r="C16" s="6" t="s">
        <v>31</v>
      </c>
      <c r="D16" s="88" t="s">
        <v>194</v>
      </c>
      <c r="E16" s="89"/>
      <c r="F16" s="89"/>
      <c r="G16" s="90"/>
      <c r="H16" s="1"/>
      <c r="I16" s="1"/>
    </row>
    <row r="17" spans="1:9" x14ac:dyDescent="0.25">
      <c r="A17" s="1"/>
      <c r="B17" s="1"/>
      <c r="C17" s="6" t="s">
        <v>102</v>
      </c>
      <c r="D17" s="88" t="s">
        <v>195</v>
      </c>
      <c r="E17" s="89"/>
      <c r="F17" s="89"/>
      <c r="G17" s="90"/>
      <c r="H17" s="1"/>
      <c r="I17" s="1"/>
    </row>
    <row r="18" spans="1:9" x14ac:dyDescent="0.25">
      <c r="A18" s="1"/>
      <c r="B18" s="1"/>
      <c r="C18" s="6" t="s">
        <v>86</v>
      </c>
      <c r="D18" s="94" t="s">
        <v>79</v>
      </c>
      <c r="E18" s="95"/>
      <c r="F18" s="95"/>
      <c r="G18" s="96"/>
      <c r="H18" s="1"/>
      <c r="I18" s="1"/>
    </row>
    <row r="19" spans="1:9" x14ac:dyDescent="0.25">
      <c r="A19" s="1"/>
      <c r="B19" s="1"/>
      <c r="C19" s="6" t="s">
        <v>87</v>
      </c>
      <c r="D19" s="94" t="s">
        <v>80</v>
      </c>
      <c r="E19" s="95"/>
      <c r="F19" s="95"/>
      <c r="G19" s="96"/>
      <c r="H19" s="1"/>
      <c r="I19" s="1"/>
    </row>
    <row r="20" spans="1:9" x14ac:dyDescent="0.25">
      <c r="A20" s="1"/>
      <c r="B20" s="1"/>
      <c r="C20" s="6" t="s">
        <v>7</v>
      </c>
      <c r="D20" s="94" t="s">
        <v>9</v>
      </c>
      <c r="E20" s="95"/>
      <c r="F20" s="95"/>
      <c r="G20" s="96"/>
      <c r="H20" s="1"/>
      <c r="I20" s="1"/>
    </row>
    <row r="21" spans="1:9" x14ac:dyDescent="0.25">
      <c r="A21" s="1"/>
      <c r="B21" s="1"/>
      <c r="C21" s="6" t="s">
        <v>88</v>
      </c>
      <c r="D21" s="85" t="s">
        <v>11</v>
      </c>
      <c r="E21" s="86"/>
      <c r="F21" s="86"/>
      <c r="G21" s="87"/>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2" t="s">
        <v>84</v>
      </c>
      <c r="E29" s="83"/>
      <c r="F29" s="83"/>
      <c r="G29" s="8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BM7+N41OrQyA+Z83VUD4cZPjAkg9y3hKeWAuG5tyD6IhGKc8HZKnaiqSMi3oloTGec+BNeJxUPGKBda+0cjjVA==" saltValue="hpotCgmUhruU1vlEt+Qn6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1" t="s">
        <v>226</v>
      </c>
      <c r="C8" s="102"/>
      <c r="D8" s="103"/>
      <c r="E8" s="1"/>
      <c r="F8" s="1"/>
    </row>
    <row r="9" spans="1:6" ht="15" customHeight="1" x14ac:dyDescent="0.25">
      <c r="A9" s="1"/>
      <c r="B9" s="32" t="s">
        <v>28</v>
      </c>
      <c r="C9" s="11" t="s">
        <v>212</v>
      </c>
      <c r="D9" s="11"/>
      <c r="E9" s="1"/>
      <c r="F9" s="1"/>
    </row>
    <row r="10" spans="1:6" ht="15" customHeight="1" x14ac:dyDescent="0.25">
      <c r="A10" s="1"/>
      <c r="B10" s="67" t="s">
        <v>243</v>
      </c>
      <c r="C10" s="9">
        <v>15246890</v>
      </c>
      <c r="D10" s="14" t="s">
        <v>3</v>
      </c>
      <c r="E10" s="1"/>
      <c r="F10" s="1"/>
    </row>
    <row r="11" spans="1:6" x14ac:dyDescent="0.25">
      <c r="A11" s="1"/>
      <c r="B11" s="67" t="s">
        <v>244</v>
      </c>
      <c r="C11" s="9">
        <v>109006</v>
      </c>
      <c r="D11" s="14" t="s">
        <v>3</v>
      </c>
      <c r="E11" s="1"/>
      <c r="F11" s="1"/>
    </row>
    <row r="12" spans="1:6" x14ac:dyDescent="0.25">
      <c r="A12" s="1"/>
      <c r="B12" s="67" t="s">
        <v>245</v>
      </c>
      <c r="C12" s="9">
        <v>174632</v>
      </c>
      <c r="D12" s="14" t="s">
        <v>3</v>
      </c>
      <c r="E12" s="1"/>
      <c r="F12" s="1"/>
    </row>
    <row r="13" spans="1:6" x14ac:dyDescent="0.25">
      <c r="A13" s="1"/>
      <c r="B13" s="67" t="s">
        <v>246</v>
      </c>
      <c r="C13" s="9">
        <v>292102</v>
      </c>
      <c r="D13" s="14" t="s">
        <v>3</v>
      </c>
      <c r="E13" s="1"/>
      <c r="F13" s="1"/>
    </row>
    <row r="14" spans="1:6" x14ac:dyDescent="0.25">
      <c r="A14" s="1"/>
      <c r="B14" s="67"/>
      <c r="C14" s="9"/>
      <c r="D14" s="14" t="s">
        <v>3</v>
      </c>
      <c r="E14" s="1"/>
      <c r="F14" s="1"/>
    </row>
    <row r="15" spans="1:6" x14ac:dyDescent="0.25">
      <c r="A15" s="1"/>
      <c r="B15" s="67"/>
      <c r="C15" s="9"/>
      <c r="D15" s="14" t="s">
        <v>3</v>
      </c>
      <c r="E15" s="1"/>
      <c r="F15" s="1"/>
    </row>
    <row r="16" spans="1:6" x14ac:dyDescent="0.25">
      <c r="A16" s="1"/>
      <c r="B16" s="67"/>
      <c r="C16" s="9"/>
      <c r="D16" s="14" t="s">
        <v>3</v>
      </c>
      <c r="E16" s="1"/>
      <c r="F16" s="1"/>
    </row>
    <row r="17" spans="1:6" x14ac:dyDescent="0.25">
      <c r="A17" s="1"/>
      <c r="B17" s="67"/>
      <c r="C17" s="9"/>
      <c r="D17" s="14" t="s">
        <v>3</v>
      </c>
      <c r="E17" s="1"/>
      <c r="F17" s="1"/>
    </row>
    <row r="18" spans="1:6" x14ac:dyDescent="0.25">
      <c r="A18" s="1"/>
      <c r="B18" s="67"/>
      <c r="C18" s="9"/>
      <c r="D18" s="14" t="s">
        <v>3</v>
      </c>
      <c r="E18" s="1"/>
      <c r="F18" s="1"/>
    </row>
    <row r="19" spans="1:6" x14ac:dyDescent="0.25">
      <c r="A19" s="1"/>
      <c r="B19" s="51" t="s">
        <v>213</v>
      </c>
      <c r="C19" s="12">
        <f>SUM(C10:C18)</f>
        <v>15822630</v>
      </c>
      <c r="D19" s="13" t="s">
        <v>3</v>
      </c>
      <c r="E19" s="1"/>
      <c r="F19" s="1"/>
    </row>
    <row r="20" spans="1:6" x14ac:dyDescent="0.25">
      <c r="A20" s="1"/>
      <c r="B20" s="51" t="s">
        <v>214</v>
      </c>
      <c r="C20" s="12">
        <f>C19*(1+'Fane 13. Nøgletal'!C16)^2</f>
        <v>18482867.263123199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N/cCMLeLEgVTD4s473+/9i71Nh7O+BrGZL6dO4u0Tw3MKTxDlOdbHXtcmsr+ytaZ+Ha2V8ozkdeTGQugEgAJw==" saltValue="0PsGZL+PWOrWnGLMHy7n2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8290-E7F9-4E3E-B266-DA94D907F50B}">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3"/>
      <c r="C5" s="63"/>
      <c r="D5" s="63"/>
      <c r="E5" s="63"/>
      <c r="F5" s="63"/>
      <c r="G5" s="1"/>
    </row>
    <row r="6" spans="1:7" ht="15" customHeight="1" x14ac:dyDescent="0.25">
      <c r="A6" s="1"/>
      <c r="B6" s="1"/>
      <c r="C6" s="58"/>
      <c r="D6" s="59"/>
      <c r="E6" s="63"/>
      <c r="F6" s="63"/>
      <c r="G6" s="1"/>
    </row>
    <row r="7" spans="1:7" x14ac:dyDescent="0.25">
      <c r="A7" s="1"/>
      <c r="B7" s="1"/>
      <c r="C7" s="1"/>
      <c r="D7" s="1"/>
      <c r="E7" s="60"/>
      <c r="F7" s="1"/>
      <c r="G7" s="1"/>
    </row>
    <row r="8" spans="1:7" x14ac:dyDescent="0.25">
      <c r="A8" s="1"/>
      <c r="B8" s="101" t="s">
        <v>247</v>
      </c>
      <c r="C8" s="102"/>
      <c r="D8" s="102"/>
      <c r="E8" s="102"/>
      <c r="F8" s="103"/>
      <c r="G8" s="1"/>
    </row>
    <row r="9" spans="1:7" x14ac:dyDescent="0.25">
      <c r="A9" s="1"/>
      <c r="B9" s="104" t="s">
        <v>248</v>
      </c>
      <c r="C9" s="105"/>
      <c r="D9" s="106"/>
      <c r="E9" s="28">
        <v>3400330</v>
      </c>
      <c r="F9" s="14" t="s">
        <v>3</v>
      </c>
      <c r="G9" s="1"/>
    </row>
    <row r="10" spans="1:7" x14ac:dyDescent="0.25">
      <c r="A10" s="1"/>
      <c r="B10" s="51"/>
      <c r="C10" s="52"/>
      <c r="D10" s="52"/>
      <c r="E10" s="52"/>
      <c r="F10" s="19"/>
      <c r="G10" s="1"/>
    </row>
    <row r="11" spans="1:7" ht="53.25" customHeight="1" x14ac:dyDescent="0.25">
      <c r="A11" s="1"/>
      <c r="B11" s="119" t="s">
        <v>249</v>
      </c>
      <c r="C11" s="120"/>
      <c r="D11" s="120"/>
      <c r="E11" s="120"/>
      <c r="F11" s="121"/>
      <c r="G11" s="1"/>
    </row>
    <row r="12" spans="1:7" x14ac:dyDescent="0.25">
      <c r="A12" s="1"/>
      <c r="B12" s="1"/>
      <c r="C12" s="1"/>
      <c r="D12" s="1"/>
      <c r="E12" s="1"/>
      <c r="F12" s="1"/>
      <c r="G12" s="1"/>
    </row>
    <row r="13" spans="1:7" x14ac:dyDescent="0.25">
      <c r="A13" s="1"/>
      <c r="B13" s="101" t="s">
        <v>140</v>
      </c>
      <c r="C13" s="102"/>
      <c r="D13" s="102"/>
      <c r="E13" s="102"/>
      <c r="F13" s="103"/>
      <c r="G13" s="1"/>
    </row>
    <row r="14" spans="1:7" x14ac:dyDescent="0.25">
      <c r="A14" s="1"/>
      <c r="B14" s="104" t="s">
        <v>250</v>
      </c>
      <c r="C14" s="105"/>
      <c r="D14" s="106"/>
      <c r="E14" s="9">
        <v>-1094750</v>
      </c>
      <c r="F14" s="14" t="s">
        <v>3</v>
      </c>
      <c r="G14" s="1"/>
    </row>
    <row r="15" spans="1:7" x14ac:dyDescent="0.25">
      <c r="A15" s="1"/>
      <c r="B15" s="104" t="s">
        <v>251</v>
      </c>
      <c r="C15" s="105"/>
      <c r="D15" s="106"/>
      <c r="E15" s="9">
        <v>-1094750</v>
      </c>
      <c r="F15" s="14" t="s">
        <v>3</v>
      </c>
      <c r="G15" s="1"/>
    </row>
    <row r="16" spans="1:7" x14ac:dyDescent="0.25">
      <c r="A16" s="1"/>
      <c r="B16" s="51"/>
      <c r="C16" s="52"/>
      <c r="D16" s="52"/>
      <c r="E16" s="52"/>
      <c r="F16" s="19"/>
      <c r="G16" s="1"/>
    </row>
    <row r="17" spans="1:7" ht="32.25" customHeight="1" x14ac:dyDescent="0.25">
      <c r="A17" s="1"/>
      <c r="B17" s="119" t="s">
        <v>252</v>
      </c>
      <c r="C17" s="120"/>
      <c r="D17" s="120"/>
      <c r="E17" s="120"/>
      <c r="F17" s="121"/>
      <c r="G17" s="1"/>
    </row>
    <row r="18" spans="1:7" x14ac:dyDescent="0.25">
      <c r="A18" s="1"/>
      <c r="B18" s="1"/>
      <c r="C18" s="1"/>
      <c r="D18" s="1"/>
      <c r="E18" s="1"/>
      <c r="F18" s="1"/>
      <c r="G18" s="1"/>
    </row>
    <row r="19" spans="1:7" x14ac:dyDescent="0.25">
      <c r="A19" s="1"/>
      <c r="B19" s="68" t="s">
        <v>253</v>
      </c>
      <c r="C19" s="69"/>
      <c r="D19" s="69"/>
      <c r="E19" s="69"/>
      <c r="F19" s="70"/>
      <c r="G19" s="1"/>
    </row>
    <row r="20" spans="1:7" x14ac:dyDescent="0.25">
      <c r="A20" s="1"/>
      <c r="B20" s="64" t="s">
        <v>254</v>
      </c>
      <c r="C20" s="65"/>
      <c r="D20" s="66"/>
      <c r="E20" s="9">
        <v>39166942</v>
      </c>
      <c r="F20" s="14" t="s">
        <v>3</v>
      </c>
      <c r="G20" s="1"/>
    </row>
    <row r="21" spans="1:7" x14ac:dyDescent="0.25">
      <c r="A21" s="1"/>
      <c r="B21" s="64" t="s">
        <v>255</v>
      </c>
      <c r="C21" s="65"/>
      <c r="D21" s="66"/>
      <c r="E21" s="9">
        <v>36303668</v>
      </c>
      <c r="F21" s="14" t="s">
        <v>3</v>
      </c>
      <c r="G21" s="1"/>
    </row>
    <row r="22" spans="1:7" x14ac:dyDescent="0.25">
      <c r="A22" s="1"/>
      <c r="B22" s="64" t="s">
        <v>29</v>
      </c>
      <c r="C22" s="65"/>
      <c r="D22" s="66"/>
      <c r="E22" s="9">
        <v>0</v>
      </c>
      <c r="F22" s="14" t="s">
        <v>3</v>
      </c>
      <c r="G22" s="1"/>
    </row>
    <row r="23" spans="1:7" x14ac:dyDescent="0.25">
      <c r="A23" s="1"/>
      <c r="B23" s="73" t="s">
        <v>256</v>
      </c>
      <c r="C23" s="74"/>
      <c r="D23" s="75"/>
      <c r="E23" s="10">
        <f>E20-(E21-E22)</f>
        <v>2863274</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1" t="s">
        <v>257</v>
      </c>
      <c r="C26" s="102"/>
      <c r="D26" s="102"/>
      <c r="E26" s="102"/>
      <c r="F26" s="103"/>
      <c r="G26" s="1"/>
    </row>
    <row r="27" spans="1:7" x14ac:dyDescent="0.25">
      <c r="A27" s="1"/>
      <c r="B27" s="129" t="s">
        <v>258</v>
      </c>
      <c r="C27" s="130"/>
      <c r="D27" s="131"/>
      <c r="E27" s="61">
        <f>IF(AND(E15&lt;0,E23&gt;0,ABS(SUM(E14:E15))&lt;E23),ABS(E14),IF(AND(E15&lt;0,E23&gt;0,ABS(SUM(E14:E15))&gt;E23),SUM(E14,E23),0))</f>
        <v>1094750</v>
      </c>
      <c r="F27" s="17" t="s">
        <v>3</v>
      </c>
      <c r="G27" s="1"/>
    </row>
    <row r="28" spans="1:7" x14ac:dyDescent="0.25">
      <c r="A28" s="1"/>
      <c r="B28" s="101"/>
      <c r="C28" s="102"/>
      <c r="D28" s="102"/>
      <c r="E28" s="102"/>
      <c r="F28" s="103"/>
      <c r="G28" s="1"/>
    </row>
    <row r="29" spans="1:7" x14ac:dyDescent="0.25">
      <c r="A29" s="1"/>
      <c r="B29" s="1"/>
      <c r="C29" s="1"/>
      <c r="D29" s="1"/>
      <c r="E29" s="1"/>
      <c r="F29" s="1"/>
      <c r="G29" s="1"/>
    </row>
    <row r="30" spans="1:7" x14ac:dyDescent="0.25">
      <c r="A30" s="1"/>
      <c r="B30" s="101" t="s">
        <v>259</v>
      </c>
      <c r="C30" s="102"/>
      <c r="D30" s="102"/>
      <c r="E30" s="102"/>
      <c r="F30" s="103"/>
      <c r="G30" s="1"/>
    </row>
    <row r="31" spans="1:7" x14ac:dyDescent="0.25">
      <c r="A31" s="1"/>
      <c r="B31" s="122" t="s">
        <v>117</v>
      </c>
      <c r="C31" s="123"/>
      <c r="D31" s="124"/>
      <c r="E31" s="62">
        <f>IF(AND(E9&gt;0,(E9+E23)&gt;0),0,IF(AND(E9&gt;0,(E9+E23)&lt;0),(E9+E23),IF(AND(E9&lt;0,E23&lt;0),E23,0)))</f>
        <v>0</v>
      </c>
      <c r="F31" s="14" t="s">
        <v>3</v>
      </c>
      <c r="G31" s="1"/>
    </row>
    <row r="32" spans="1:7" x14ac:dyDescent="0.25">
      <c r="A32" s="1"/>
      <c r="B32" s="122" t="s">
        <v>85</v>
      </c>
      <c r="C32" s="123"/>
      <c r="D32" s="124"/>
      <c r="E32" s="9">
        <v>2</v>
      </c>
      <c r="F32" s="14" t="s">
        <v>18</v>
      </c>
      <c r="G32" s="1"/>
    </row>
    <row r="33" spans="1:7" x14ac:dyDescent="0.25">
      <c r="A33" s="1"/>
      <c r="B33" s="125" t="s">
        <v>116</v>
      </c>
      <c r="C33" s="125"/>
      <c r="D33" s="125"/>
      <c r="E33" s="61">
        <f>E31/E32</f>
        <v>0</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8Siaj6EY+ICOsfWk8T0dlv6+PGe9cyLXo9Vmzihmida9dJM+1d9gdYz0/k9FqPotROMExmZctYJc9KUoxbJTXQ==" saltValue="oqZ+buSCQsBx5pr59ZqCCg=="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1" t="s">
        <v>184</v>
      </c>
      <c r="C8" s="102"/>
      <c r="D8" s="102"/>
      <c r="E8" s="102"/>
      <c r="F8" s="102"/>
      <c r="G8" s="102"/>
      <c r="H8" s="103"/>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1" t="s">
        <v>193</v>
      </c>
      <c r="C18" s="102"/>
      <c r="D18" s="102"/>
      <c r="E18" s="102"/>
      <c r="F18" s="10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hK+kKdOByd1Pru6tBInD9JowQoT5GPjJsqhu3/rl1HgONocN7+iCXQJ+ncahomN+D1Xp6sC2KaM7G8WloE2Cuw==" saltValue="hsZ+QDqB+4ZuXG/oquyEg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1" t="s">
        <v>155</v>
      </c>
      <c r="C8" s="102"/>
      <c r="D8" s="102"/>
      <c r="E8" s="102"/>
      <c r="F8" s="102"/>
      <c r="G8" s="102"/>
      <c r="H8" s="102"/>
      <c r="I8" s="102"/>
      <c r="J8" s="102"/>
      <c r="K8" s="103"/>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71q75Wcezp/EpVnuVIaMDMXFpR6FcqyJ3IfDgYLe6H1NEEF04kmPlxTdgt2LHaIRF6jqifR9TDOER0aOzn/iGQ==" saltValue="G40lcnVPVZpD+25nxMDmU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260</v>
      </c>
      <c r="C11" s="21">
        <v>866628</v>
      </c>
      <c r="D11" s="14" t="s">
        <v>3</v>
      </c>
      <c r="E11" s="9">
        <v>17712</v>
      </c>
      <c r="F11" s="14" t="s">
        <v>3</v>
      </c>
      <c r="G11" s="1"/>
    </row>
    <row r="12" spans="1:7" x14ac:dyDescent="0.25">
      <c r="A12" s="1"/>
      <c r="B12" s="27" t="s">
        <v>261</v>
      </c>
      <c r="C12" s="21">
        <v>25269</v>
      </c>
      <c r="D12" s="14" t="s">
        <v>3</v>
      </c>
      <c r="E12" s="9">
        <v>0</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891897</v>
      </c>
      <c r="D17" s="13" t="s">
        <v>3</v>
      </c>
      <c r="E17" s="12">
        <f>SUM(E10:E16)</f>
        <v>17712</v>
      </c>
      <c r="F17" s="13" t="s">
        <v>3</v>
      </c>
      <c r="G17" s="1"/>
    </row>
    <row r="18" spans="1:7" x14ac:dyDescent="0.25">
      <c r="A18" s="1"/>
      <c r="B18" s="51" t="s">
        <v>209</v>
      </c>
      <c r="C18" s="12">
        <f>C17*(1+'Fane 13. Nøgletal'!C16)</f>
        <v>963962.27760000003</v>
      </c>
      <c r="D18" s="13" t="s">
        <v>3</v>
      </c>
      <c r="E18" s="12">
        <f>E17*(1+'Fane 13. Nøgletal'!C16)</f>
        <v>19143.1296</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V37P31NXrRuVJ5YIv338g9TUxB5OsnjpN5hOpgD3PKBs+qVZrhJS3bGvkoqmDTXbirXBxeBQjadIxdo2vRTjAQ==" saltValue="yAmV6O1/HUnplGWoPi+eN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1" t="s">
        <v>217</v>
      </c>
      <c r="C9" s="102"/>
      <c r="D9" s="102"/>
      <c r="E9" s="102"/>
      <c r="F9" s="103"/>
      <c r="G9" s="1"/>
    </row>
    <row r="10" spans="1:7" ht="26.25" x14ac:dyDescent="0.25">
      <c r="A10" s="1"/>
      <c r="B10" s="76" t="s">
        <v>15</v>
      </c>
      <c r="C10" s="76" t="s">
        <v>10</v>
      </c>
      <c r="D10" s="77"/>
      <c r="E10" s="76" t="s">
        <v>27</v>
      </c>
      <c r="F10" s="30"/>
      <c r="G10" s="1"/>
    </row>
    <row r="11" spans="1:7" x14ac:dyDescent="0.25">
      <c r="A11" s="1"/>
      <c r="B11" s="23" t="s">
        <v>261</v>
      </c>
      <c r="C11" s="21">
        <v>126346</v>
      </c>
      <c r="D11" s="14" t="s">
        <v>3</v>
      </c>
      <c r="E11" s="9">
        <v>0</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126346</v>
      </c>
      <c r="D14" s="13" t="s">
        <v>3</v>
      </c>
      <c r="E14" s="12">
        <f>SUM(E11:E13)</f>
        <v>0</v>
      </c>
      <c r="F14" s="13" t="s">
        <v>3</v>
      </c>
      <c r="G14" s="1"/>
    </row>
    <row r="15" spans="1:7" x14ac:dyDescent="0.25">
      <c r="A15" s="1"/>
      <c r="B15" s="51" t="s">
        <v>219</v>
      </c>
      <c r="C15" s="12">
        <f>C14*(1+'Fane 13. Nøgletal'!$C$16)^2</f>
        <v>147588.38114943999</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f2McIcBT/rmk/pLnlbHbQQ3huvEoaTNV4telxNr5OizzRBLReIMIDhge+cLL5iiHpd1MdJD+3jnspwSGJ7lpQ==" saltValue="AJjMHri51qc6eK17Tenwa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1" t="s">
        <v>104</v>
      </c>
      <c r="C8" s="102"/>
      <c r="D8" s="102"/>
      <c r="E8" s="102"/>
      <c r="F8" s="103"/>
      <c r="G8" s="1"/>
    </row>
    <row r="9" spans="1:7" ht="15" customHeight="1" x14ac:dyDescent="0.25">
      <c r="A9" s="1"/>
      <c r="B9" s="53" t="s">
        <v>105</v>
      </c>
      <c r="C9" s="132" t="s">
        <v>10</v>
      </c>
      <c r="D9" s="134"/>
      <c r="E9" s="132" t="s">
        <v>27</v>
      </c>
      <c r="F9" s="134"/>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joJvh8Mx6XbMLB1jf66aN4r/rrEuis97yLndgUg/76I+o65CiGCLF5YCfnwzN2PXDgbZRplXPo8Ui3r5hqaxGg==" saltValue="6OW/9q71lEb+Lkfk0Fb58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F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181</v>
      </c>
      <c r="C3" s="100"/>
      <c r="D3" s="100"/>
      <c r="E3" s="100"/>
      <c r="F3" s="100"/>
    </row>
    <row r="4" spans="1:6" ht="25.5" customHeight="1" x14ac:dyDescent="0.25">
      <c r="A4" s="1"/>
      <c r="B4" s="100"/>
      <c r="C4" s="100"/>
      <c r="D4" s="100"/>
      <c r="E4" s="100"/>
      <c r="F4" s="100"/>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ht="15" customHeight="1" x14ac:dyDescent="0.25">
      <c r="A9" s="1"/>
      <c r="B9" s="1"/>
      <c r="C9" s="1"/>
      <c r="D9" s="1"/>
      <c r="E9" s="1"/>
      <c r="F9" s="1"/>
    </row>
    <row r="10" spans="1:6" x14ac:dyDescent="0.25">
      <c r="A10" s="1"/>
      <c r="B10" s="101" t="s">
        <v>237</v>
      </c>
      <c r="C10" s="102"/>
      <c r="D10" s="102"/>
      <c r="E10" s="102"/>
      <c r="F10" s="103"/>
    </row>
    <row r="11" spans="1:6" ht="26.25" x14ac:dyDescent="0.25">
      <c r="A11" s="1"/>
      <c r="B11" s="53" t="s">
        <v>16</v>
      </c>
      <c r="C11" s="53" t="s">
        <v>10</v>
      </c>
      <c r="D11" s="30"/>
      <c r="E11" s="53" t="s">
        <v>27</v>
      </c>
      <c r="F11" s="30"/>
    </row>
    <row r="12" spans="1:6" x14ac:dyDescent="0.25">
      <c r="A12" s="1"/>
      <c r="B12" s="57" t="s">
        <v>242</v>
      </c>
      <c r="C12" s="9">
        <v>0</v>
      </c>
      <c r="D12" s="14" t="s">
        <v>3</v>
      </c>
      <c r="E12" s="9">
        <v>0</v>
      </c>
      <c r="F12" s="14" t="s">
        <v>3</v>
      </c>
    </row>
    <row r="13" spans="1:6" x14ac:dyDescent="0.25">
      <c r="A13" s="1"/>
      <c r="B13" s="51" t="s">
        <v>78</v>
      </c>
      <c r="C13" s="12">
        <f>SUM(C12:C12)</f>
        <v>0</v>
      </c>
      <c r="D13" s="13" t="s">
        <v>3</v>
      </c>
      <c r="E13" s="12">
        <f>SUM(E12:E12)</f>
        <v>0</v>
      </c>
      <c r="F13" s="13" t="s">
        <v>3</v>
      </c>
    </row>
    <row r="14" spans="1:6" x14ac:dyDescent="0.25">
      <c r="A14" s="1"/>
      <c r="B14" s="51" t="s">
        <v>233</v>
      </c>
      <c r="C14" s="12">
        <f>C13*(1+'Fane 13. Nøgletal'!C16)</f>
        <v>0</v>
      </c>
      <c r="D14" s="13" t="s">
        <v>3</v>
      </c>
      <c r="E14" s="12">
        <f>E13*(1+'Fane 13. Nøgletal'!C16)</f>
        <v>0</v>
      </c>
      <c r="F14" s="13" t="s">
        <v>3</v>
      </c>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vuuomPxWPl10wI7FwNHpqZKjdEct5TeBsAycT2LNX8lkoAyhiaGdbqDKej5f05gPc5pyia3zlnpchbLFRiGErA==" saltValue="2B9VZlVY4KuNk8Elz4ark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7" t="s">
        <v>93</v>
      </c>
      <c r="C9" s="40">
        <v>1.2699999999999999E-2</v>
      </c>
      <c r="D9" s="1"/>
    </row>
    <row r="10" spans="1:4" x14ac:dyDescent="0.25">
      <c r="A10" s="1"/>
      <c r="B10" s="67" t="s">
        <v>21</v>
      </c>
      <c r="C10" s="40">
        <v>1.7500000000000002E-2</v>
      </c>
      <c r="D10" s="1"/>
    </row>
    <row r="11" spans="1:4" x14ac:dyDescent="0.25">
      <c r="A11" s="1"/>
      <c r="B11" s="67"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49" t="s">
        <v>207</v>
      </c>
      <c r="C16" s="42">
        <v>8.0799999999999997E-2</v>
      </c>
      <c r="D16" s="1"/>
    </row>
    <row r="17" spans="1:4" x14ac:dyDescent="0.25">
      <c r="A17" s="1"/>
      <c r="B17" s="101"/>
      <c r="C17" s="103"/>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7" t="s">
        <v>95</v>
      </c>
      <c r="C21" s="42">
        <v>9.1000000000000004E-3</v>
      </c>
      <c r="D21" s="1"/>
    </row>
    <row r="22" spans="1:4" x14ac:dyDescent="0.25">
      <c r="A22" s="1"/>
      <c r="B22" s="67" t="s">
        <v>96</v>
      </c>
      <c r="C22" s="42">
        <v>1.77E-2</v>
      </c>
      <c r="D22" s="1"/>
    </row>
    <row r="23" spans="1:4" x14ac:dyDescent="0.25">
      <c r="A23" s="1"/>
      <c r="B23" s="67" t="s">
        <v>97</v>
      </c>
      <c r="C23" s="42">
        <v>8.6999999999999994E-3</v>
      </c>
      <c r="D23" s="1"/>
    </row>
    <row r="24" spans="1:4" x14ac:dyDescent="0.25">
      <c r="A24" s="1"/>
      <c r="B24" s="67" t="s">
        <v>98</v>
      </c>
      <c r="C24" s="42">
        <v>2.8400000000000002E-2</v>
      </c>
      <c r="D24" s="1"/>
    </row>
    <row r="25" spans="1:4" x14ac:dyDescent="0.25">
      <c r="A25" s="1"/>
      <c r="B25" s="67" t="s">
        <v>111</v>
      </c>
      <c r="C25" s="42">
        <v>2.75E-2</v>
      </c>
      <c r="D25" s="1"/>
    </row>
    <row r="26" spans="1:4" x14ac:dyDescent="0.25">
      <c r="A26" s="1"/>
      <c r="B26" s="67" t="s">
        <v>137</v>
      </c>
      <c r="C26" s="42">
        <v>1.4800000000000001E-2</v>
      </c>
      <c r="D26" s="1"/>
    </row>
    <row r="27" spans="1:4" x14ac:dyDescent="0.25">
      <c r="A27" s="1"/>
      <c r="B27" s="25" t="s">
        <v>154</v>
      </c>
      <c r="C27" s="42">
        <v>0</v>
      </c>
      <c r="D27" s="1"/>
    </row>
    <row r="28" spans="1:4" x14ac:dyDescent="0.25">
      <c r="A28" s="1"/>
      <c r="B28" s="49"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7"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WI3Pcu+nAdApLJiL47WpLdfBW7rsWkO6GHCIFBy0vgGw+tTKeoDr+oXFwVsqYOj0eqMAOjruZAqTQbIJXpJwyQ==" saltValue="nr/Vt/61CRLkRyOICFOYH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26835203.592331819</v>
      </c>
      <c r="D8" s="8" t="s">
        <v>3</v>
      </c>
      <c r="E8" s="1"/>
    </row>
    <row r="9" spans="1:5" ht="17.100000000000001" customHeight="1" x14ac:dyDescent="0.25">
      <c r="A9" s="1"/>
      <c r="B9" s="24" t="s">
        <v>33</v>
      </c>
      <c r="C9" s="7">
        <f>'Fane 10.1. Varige tillæg'!C18</f>
        <v>963962.27760000003</v>
      </c>
      <c r="D9" s="8" t="s">
        <v>3</v>
      </c>
      <c r="E9" s="1"/>
    </row>
    <row r="10" spans="1:5" ht="17.100000000000001" customHeight="1" x14ac:dyDescent="0.25">
      <c r="A10" s="1"/>
      <c r="B10" s="24" t="s">
        <v>34</v>
      </c>
      <c r="C10" s="9">
        <f>'Fane 10.1. Varige tillæg'!E18</f>
        <v>19143.1296</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1034768.1647887728</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drift'!G50</f>
        <v>-309881.41929870687</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28543195.745021883</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18482867.263123199</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147588.38114943999</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-2951.7676229887998</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10">
        <f>SUM(C23:C26)</f>
        <v>144636.6135264512</v>
      </c>
      <c r="D27" s="11" t="s">
        <v>3</v>
      </c>
      <c r="E27" s="1"/>
    </row>
    <row r="28" spans="1:5" ht="15" customHeight="1" x14ac:dyDescent="0.25">
      <c r="A28" s="1"/>
      <c r="B28" s="26" t="s">
        <v>117</v>
      </c>
      <c r="C28" s="52"/>
      <c r="D28" s="19"/>
      <c r="E28" s="1"/>
    </row>
    <row r="29" spans="1:5" x14ac:dyDescent="0.25">
      <c r="A29" s="1"/>
      <c r="B29" s="72" t="s">
        <v>118</v>
      </c>
      <c r="C29" s="10">
        <f>'Fane 7. Kontrol af ØR2022'!E27</f>
        <v>1094750</v>
      </c>
      <c r="D29" s="11" t="s">
        <v>3</v>
      </c>
      <c r="E29" s="1"/>
    </row>
    <row r="30" spans="1:5" x14ac:dyDescent="0.25">
      <c r="A30" s="1"/>
      <c r="B30" s="26" t="s">
        <v>138</v>
      </c>
      <c r="C30" s="52"/>
      <c r="D30" s="19"/>
      <c r="E30" s="1"/>
    </row>
    <row r="31" spans="1:5" x14ac:dyDescent="0.25">
      <c r="A31" s="1"/>
      <c r="B31" s="72" t="s">
        <v>139</v>
      </c>
      <c r="C31" s="10">
        <f>'Fane 8. Skattesagen'!G13</f>
        <v>0</v>
      </c>
      <c r="D31" s="11" t="s">
        <v>3</v>
      </c>
      <c r="E31" s="1"/>
    </row>
    <row r="32" spans="1:5" x14ac:dyDescent="0.25">
      <c r="A32" s="1"/>
      <c r="B32" s="51" t="s">
        <v>126</v>
      </c>
      <c r="C32" s="33">
        <f>SUM(C19,C21,C27,C29,C31)</f>
        <v>48265449.621671528</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Q8hlZJbArxrJzehIi4KcQFzGs/SZ2jzqkfDoKtw5abDq+V+fOfiTBC6m6Ag9Lrg91eiBI4sgWqHosSk3dPy56A==" saltValue="N6NLxvu4TkqtTXfa4dYz5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28543195.745021883</v>
      </c>
      <c r="D8" s="8" t="s">
        <v>3</v>
      </c>
      <c r="E8" s="1"/>
    </row>
    <row r="9" spans="1:5" ht="15" customHeight="1" x14ac:dyDescent="0.25">
      <c r="A9" s="1"/>
      <c r="B9" s="29" t="s">
        <v>17</v>
      </c>
      <c r="C9" s="9">
        <f>SUM(C8:C8)*'Fane 13. Nøgletal'!C16</f>
        <v>2306290.2161977682</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drift'!G55</f>
        <v>-328221.44121848157</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30521264.520001173</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19976282.937983554</v>
      </c>
      <c r="D15" s="11" t="s">
        <v>3</v>
      </c>
      <c r="E15" s="1"/>
    </row>
    <row r="16" spans="1:5" x14ac:dyDescent="0.25">
      <c r="A16" s="1"/>
      <c r="B16" s="26" t="s">
        <v>117</v>
      </c>
      <c r="C16" s="52"/>
      <c r="D16" s="19"/>
      <c r="E16" s="1"/>
    </row>
    <row r="17" spans="1:5" ht="15" customHeight="1" x14ac:dyDescent="0.25">
      <c r="A17" s="1"/>
      <c r="B17" s="72" t="s">
        <v>118</v>
      </c>
      <c r="C17" s="10">
        <f>'Fane 7. Kontrol af ØR2022'!E33</f>
        <v>0</v>
      </c>
      <c r="D17" s="11" t="s">
        <v>3</v>
      </c>
      <c r="E17" s="1"/>
    </row>
    <row r="18" spans="1:5" x14ac:dyDescent="0.25">
      <c r="A18" s="1"/>
      <c r="B18" s="26" t="s">
        <v>138</v>
      </c>
      <c r="C18" s="52"/>
      <c r="D18" s="19"/>
      <c r="E18" s="1"/>
    </row>
    <row r="19" spans="1:5" x14ac:dyDescent="0.25">
      <c r="A19" s="1"/>
      <c r="B19" s="72" t="s">
        <v>139</v>
      </c>
      <c r="C19" s="10">
        <f>'Fane 8. Skattesagen'!G13</f>
        <v>0</v>
      </c>
      <c r="D19" s="11" t="s">
        <v>3</v>
      </c>
      <c r="E19" s="1"/>
    </row>
    <row r="20" spans="1:5" x14ac:dyDescent="0.25">
      <c r="A20" s="1"/>
      <c r="B20" s="51" t="s">
        <v>128</v>
      </c>
      <c r="C20" s="12">
        <f>SUM(C13,C15,C17,C19)</f>
        <v>50497547.457984731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oCYWWeBghSrrzbRK9XWDxCZ53Za8GnY1AB4rFzgJT428vQDpLA8Tq5BzWxAviWYsgUCwhqMbcZ4BCJ+veBJwQ==" saltValue="Un+CLYs4FGxt/TVo/eNIJ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30521264.520001173</v>
      </c>
      <c r="D8" s="8" t="s">
        <v>3</v>
      </c>
      <c r="E8" s="1"/>
    </row>
    <row r="9" spans="1:5" ht="15" customHeight="1" x14ac:dyDescent="0.25">
      <c r="A9" s="1"/>
      <c r="B9" s="29" t="s">
        <v>17</v>
      </c>
      <c r="C9" s="9">
        <f>SUM(C8:C8)*'Fane 13. Nøgletal'!C16</f>
        <v>2466118.1732160947</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drift'!G60</f>
        <v>-347646.89899555617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32639735.79422171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21590366.599372625</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72" t="s">
        <v>139</v>
      </c>
      <c r="C19" s="10">
        <f>'Fane 8. Skattesagen'!G14</f>
        <v>0</v>
      </c>
      <c r="D19" s="11" t="s">
        <v>3</v>
      </c>
      <c r="E19" s="1"/>
    </row>
    <row r="20" spans="1:5" x14ac:dyDescent="0.25">
      <c r="A20" s="1"/>
      <c r="B20" s="51" t="s">
        <v>143</v>
      </c>
      <c r="C20" s="12">
        <f>SUM(C13,C15,C17,C19)</f>
        <v>54230102.393594339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hTPAWQAxr+mmyCeI80vISI1hmkFQQNVj33Br+cFsPARL0xk7DT1KD+9GQHdZWniV7xsY03ZBXobzeo1PlIXvQ==" saltValue="6c3G4nSsSF4TPBI5tT+Hd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32639735.79422171</v>
      </c>
      <c r="D8" s="8" t="s">
        <v>3</v>
      </c>
      <c r="E8" s="1"/>
    </row>
    <row r="9" spans="1:5" ht="15" customHeight="1" x14ac:dyDescent="0.25">
      <c r="A9" s="1"/>
      <c r="B9" s="29" t="s">
        <v>17</v>
      </c>
      <c r="C9" s="9">
        <f>SUM(C8:C8)*'Fane 13. Nøgletal'!C16</f>
        <v>2637290.652173114</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drift'!G65</f>
        <v>-368222.03306570917</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34908804.413329117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23334868.220601931</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2" t="s">
        <v>139</v>
      </c>
      <c r="C19" s="10">
        <f>'Fane 8. Skattesagen'!G15</f>
        <v>0</v>
      </c>
      <c r="D19" s="11" t="s">
        <v>3</v>
      </c>
      <c r="E19" s="1"/>
    </row>
    <row r="20" spans="1:5" x14ac:dyDescent="0.25">
      <c r="A20" s="1"/>
      <c r="B20" s="51" t="s">
        <v>205</v>
      </c>
      <c r="C20" s="12">
        <f>SUM(C13,C15,C17,C19)</f>
        <v>58243672.633931048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5Ny7akSK20+zphpLQ8IShlYqaE9g5qxgfyWF5Ci+BmjB7daHJuKtkqTjSzJ3D9jBDw5ACu0hTWZHgwg2fqeGg==" saltValue="5b2bGYqJFKDAixtDwcwAZ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25323016.438568871</v>
      </c>
      <c r="D8" s="8" t="s">
        <v>3</v>
      </c>
      <c r="E8" s="1"/>
    </row>
    <row r="9" spans="1:5" x14ac:dyDescent="0.25">
      <c r="A9" s="1"/>
      <c r="B9" s="24" t="s">
        <v>33</v>
      </c>
      <c r="C9" s="7">
        <v>831327.9</v>
      </c>
      <c r="D9" s="8" t="s">
        <v>3</v>
      </c>
      <c r="E9" s="1"/>
    </row>
    <row r="10" spans="1:5" x14ac:dyDescent="0.25">
      <c r="A10" s="1"/>
      <c r="B10" s="24" t="s">
        <v>34</v>
      </c>
      <c r="C10" s="9">
        <v>33380.4948</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932283.00406793179</v>
      </c>
      <c r="D15" s="8" t="s">
        <v>3</v>
      </c>
      <c r="E15" s="1"/>
    </row>
    <row r="16" spans="1:5" x14ac:dyDescent="0.25">
      <c r="A16" s="1"/>
      <c r="B16" s="24" t="s">
        <v>9</v>
      </c>
      <c r="C16" s="9">
        <v>0</v>
      </c>
      <c r="D16" s="8" t="s">
        <v>3</v>
      </c>
      <c r="E16" s="1"/>
    </row>
    <row r="17" spans="1:5" x14ac:dyDescent="0.25">
      <c r="A17" s="1"/>
      <c r="B17" s="24" t="s">
        <v>22</v>
      </c>
      <c r="C17" s="9">
        <v>-284804.24510498228</v>
      </c>
      <c r="D17" s="8" t="s">
        <v>3</v>
      </c>
      <c r="E17" s="1"/>
    </row>
    <row r="18" spans="1:5" x14ac:dyDescent="0.25">
      <c r="A18" s="1"/>
      <c r="B18" s="24" t="s">
        <v>23</v>
      </c>
      <c r="C18" s="9">
        <v>0</v>
      </c>
      <c r="D18" s="8" t="s">
        <v>3</v>
      </c>
      <c r="E18" s="1"/>
    </row>
    <row r="19" spans="1:5" x14ac:dyDescent="0.25">
      <c r="A19" s="1"/>
      <c r="B19" s="73" t="s">
        <v>19</v>
      </c>
      <c r="C19" s="10">
        <v>26835203.592331819</v>
      </c>
      <c r="D19" s="11" t="s">
        <v>3</v>
      </c>
      <c r="E19" s="1"/>
    </row>
    <row r="20" spans="1:5" x14ac:dyDescent="0.25">
      <c r="A20" s="1"/>
      <c r="B20" s="51" t="s">
        <v>11</v>
      </c>
      <c r="C20" s="52"/>
      <c r="D20" s="19"/>
      <c r="E20" s="1"/>
    </row>
    <row r="21" spans="1:5" x14ac:dyDescent="0.25">
      <c r="A21" s="1"/>
      <c r="B21" s="53" t="s">
        <v>11</v>
      </c>
      <c r="C21" s="10">
        <v>17284041.626461923</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6">
        <v>0</v>
      </c>
      <c r="D27" s="11" t="s">
        <v>3</v>
      </c>
      <c r="E27" s="1"/>
    </row>
    <row r="28" spans="1:5" x14ac:dyDescent="0.25">
      <c r="A28" s="1"/>
      <c r="B28" s="26" t="s">
        <v>117</v>
      </c>
      <c r="C28" s="52"/>
      <c r="D28" s="19"/>
      <c r="E28" s="1"/>
    </row>
    <row r="29" spans="1:5" x14ac:dyDescent="0.25">
      <c r="A29" s="1"/>
      <c r="B29" s="72" t="s">
        <v>118</v>
      </c>
      <c r="C29" s="10">
        <v>-1094750.5</v>
      </c>
      <c r="D29" s="11" t="s">
        <v>3</v>
      </c>
      <c r="E29" s="1"/>
    </row>
    <row r="30" spans="1:5" x14ac:dyDescent="0.25">
      <c r="A30" s="1"/>
      <c r="B30" s="26" t="s">
        <v>138</v>
      </c>
      <c r="C30" s="52"/>
      <c r="D30" s="19"/>
      <c r="E30" s="1"/>
    </row>
    <row r="31" spans="1:5" x14ac:dyDescent="0.25">
      <c r="A31" s="1"/>
      <c r="B31" s="72" t="s">
        <v>139</v>
      </c>
      <c r="C31" s="10">
        <v>0</v>
      </c>
      <c r="D31" s="11" t="s">
        <v>3</v>
      </c>
      <c r="E31" s="1"/>
    </row>
    <row r="32" spans="1:5" x14ac:dyDescent="0.25">
      <c r="A32" s="1"/>
      <c r="B32" s="51" t="s">
        <v>239</v>
      </c>
      <c r="C32" s="33">
        <v>43024494.718793742</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exqmjxUWE657fOLLfIodoKy93kVKFLIy1vjI/+idhZJoChi7XdOzCK3tNkGN2Kpgn1B0T8ysTIhGGA4oXSSbw==" saltValue="S1ydaSYmLl+9u6RJwUENB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1" t="s">
        <v>44</v>
      </c>
      <c r="C4" s="102"/>
      <c r="D4" s="102"/>
      <c r="E4" s="102"/>
      <c r="F4" s="102"/>
      <c r="G4" s="102"/>
      <c r="H4" s="103"/>
      <c r="I4" s="1"/>
    </row>
    <row r="5" spans="1:9" x14ac:dyDescent="0.25">
      <c r="A5" s="1"/>
      <c r="B5" s="104" t="s">
        <v>36</v>
      </c>
      <c r="C5" s="105"/>
      <c r="D5" s="105"/>
      <c r="E5" s="105"/>
      <c r="F5" s="106"/>
      <c r="G5" s="47">
        <v>11376379</v>
      </c>
      <c r="H5" s="14" t="s">
        <v>3</v>
      </c>
      <c r="I5" s="1"/>
    </row>
    <row r="6" spans="1:9" x14ac:dyDescent="0.25">
      <c r="A6" s="1"/>
      <c r="B6" s="104" t="s">
        <v>37</v>
      </c>
      <c r="C6" s="105"/>
      <c r="D6" s="105"/>
      <c r="E6" s="105"/>
      <c r="F6" s="106"/>
      <c r="G6" s="22">
        <f>G5*'Fane 13. Nøgletal'!C33</f>
        <v>227527.58000000002</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1" t="s">
        <v>45</v>
      </c>
      <c r="C9" s="102"/>
      <c r="D9" s="102"/>
      <c r="E9" s="102"/>
      <c r="F9" s="102"/>
      <c r="G9" s="102"/>
      <c r="H9" s="103"/>
      <c r="I9" s="1"/>
    </row>
    <row r="10" spans="1:9" x14ac:dyDescent="0.25">
      <c r="A10" s="1"/>
      <c r="B10" s="104" t="s">
        <v>38</v>
      </c>
      <c r="C10" s="105"/>
      <c r="D10" s="105"/>
      <c r="E10" s="105"/>
      <c r="F10" s="106"/>
      <c r="G10" s="22">
        <v>11520867.540233999</v>
      </c>
      <c r="H10" s="14" t="s">
        <v>3</v>
      </c>
      <c r="I10" s="1"/>
    </row>
    <row r="11" spans="1:9" x14ac:dyDescent="0.25">
      <c r="A11" s="1"/>
      <c r="B11" s="71" t="s">
        <v>262</v>
      </c>
      <c r="C11" s="65"/>
      <c r="D11" s="65"/>
      <c r="E11" s="65"/>
      <c r="F11" s="66"/>
      <c r="G11" s="22">
        <v>227536</v>
      </c>
      <c r="H11" s="14" t="s">
        <v>3</v>
      </c>
      <c r="I11" s="1"/>
    </row>
    <row r="12" spans="1:9" x14ac:dyDescent="0.25">
      <c r="A12" s="1"/>
      <c r="B12" s="107" t="s">
        <v>228</v>
      </c>
      <c r="C12" s="108"/>
      <c r="D12" s="108"/>
      <c r="E12" s="108"/>
      <c r="F12" s="109"/>
      <c r="G12" s="47">
        <v>0</v>
      </c>
      <c r="H12" s="14" t="s">
        <v>3</v>
      </c>
      <c r="I12" s="1"/>
    </row>
    <row r="13" spans="1:9" x14ac:dyDescent="0.25">
      <c r="A13" s="1"/>
      <c r="B13" s="104" t="s">
        <v>39</v>
      </c>
      <c r="C13" s="105"/>
      <c r="D13" s="105"/>
      <c r="E13" s="105"/>
      <c r="F13" s="106"/>
      <c r="G13" s="22">
        <f>(G10+G12)*'Fane 13. Nøgletal'!C33</f>
        <v>230417.35080468</v>
      </c>
      <c r="H13" s="14" t="s">
        <v>3</v>
      </c>
      <c r="I13" s="1"/>
    </row>
    <row r="14" spans="1:9" x14ac:dyDescent="0.25">
      <c r="A14" s="1"/>
      <c r="B14" s="51"/>
      <c r="C14" s="52"/>
      <c r="D14" s="52"/>
      <c r="E14" s="52"/>
      <c r="F14" s="52"/>
      <c r="G14" s="35"/>
      <c r="H14" s="19"/>
      <c r="I14" s="1"/>
    </row>
    <row r="15" spans="1:9" x14ac:dyDescent="0.25">
      <c r="A15" s="1"/>
      <c r="B15" s="1"/>
      <c r="C15" s="1"/>
      <c r="D15" s="1"/>
      <c r="E15" s="1"/>
      <c r="F15" s="1"/>
      <c r="G15" s="36"/>
      <c r="H15" s="1"/>
      <c r="I15" s="1"/>
    </row>
    <row r="16" spans="1:9" x14ac:dyDescent="0.25">
      <c r="A16" s="1"/>
      <c r="B16" s="101" t="s">
        <v>46</v>
      </c>
      <c r="C16" s="102"/>
      <c r="D16" s="102"/>
      <c r="E16" s="102"/>
      <c r="F16" s="102"/>
      <c r="G16" s="102"/>
      <c r="H16" s="103"/>
      <c r="I16" s="1"/>
    </row>
    <row r="17" spans="1:9" x14ac:dyDescent="0.25">
      <c r="A17" s="1"/>
      <c r="B17" s="104" t="s">
        <v>40</v>
      </c>
      <c r="C17" s="105"/>
      <c r="D17" s="105"/>
      <c r="E17" s="105"/>
      <c r="F17" s="106"/>
      <c r="G17" s="22">
        <f>(G10+G12-G13)*(1+'Fane 13. Nøgletal'!C11)</f>
        <v>11481258.797630675</v>
      </c>
      <c r="H17" s="14" t="s">
        <v>3</v>
      </c>
      <c r="I17" s="1"/>
    </row>
    <row r="18" spans="1:9" x14ac:dyDescent="0.25">
      <c r="A18" s="1"/>
      <c r="B18" s="104" t="s">
        <v>100</v>
      </c>
      <c r="C18" s="105"/>
      <c r="D18" s="105"/>
      <c r="E18" s="105"/>
      <c r="F18" s="106"/>
      <c r="G18" s="47">
        <v>235291.70335696</v>
      </c>
      <c r="H18" s="14" t="s">
        <v>3</v>
      </c>
      <c r="I18" s="1"/>
    </row>
    <row r="19" spans="1:9" x14ac:dyDescent="0.25">
      <c r="A19" s="1"/>
      <c r="B19" s="107" t="s">
        <v>229</v>
      </c>
      <c r="C19" s="108"/>
      <c r="D19" s="108"/>
      <c r="E19" s="108"/>
      <c r="F19" s="109"/>
      <c r="G19" s="47">
        <v>0</v>
      </c>
      <c r="H19" s="14" t="s">
        <v>3</v>
      </c>
      <c r="I19" s="1"/>
    </row>
    <row r="20" spans="1:9" x14ac:dyDescent="0.25">
      <c r="A20" s="1"/>
      <c r="B20" s="104" t="s">
        <v>41</v>
      </c>
      <c r="C20" s="105"/>
      <c r="D20" s="105"/>
      <c r="E20" s="105"/>
      <c r="F20" s="106"/>
      <c r="G20" s="22">
        <f>SUM(G17:G19)*'Fane 13. Nøgletal'!C33</f>
        <v>234331.01001975272</v>
      </c>
      <c r="H20" s="14" t="s">
        <v>3</v>
      </c>
      <c r="I20" s="1"/>
    </row>
    <row r="21" spans="1:9" x14ac:dyDescent="0.25">
      <c r="A21" s="1"/>
      <c r="B21" s="51"/>
      <c r="C21" s="52"/>
      <c r="D21" s="52"/>
      <c r="E21" s="52"/>
      <c r="F21" s="52"/>
      <c r="G21" s="35"/>
      <c r="H21" s="19"/>
      <c r="I21" s="1"/>
    </row>
    <row r="22" spans="1:9" x14ac:dyDescent="0.25">
      <c r="A22" s="1"/>
      <c r="B22" s="1"/>
      <c r="C22" s="1"/>
      <c r="D22" s="1"/>
      <c r="E22" s="1"/>
      <c r="F22" s="1"/>
      <c r="G22" s="36"/>
      <c r="H22" s="1"/>
      <c r="I22" s="1"/>
    </row>
    <row r="23" spans="1:9" x14ac:dyDescent="0.25">
      <c r="A23" s="1"/>
      <c r="B23" s="101" t="s">
        <v>47</v>
      </c>
      <c r="C23" s="102"/>
      <c r="D23" s="102"/>
      <c r="E23" s="102"/>
      <c r="F23" s="102"/>
      <c r="G23" s="102"/>
      <c r="H23" s="103"/>
      <c r="I23" s="1"/>
    </row>
    <row r="24" spans="1:9" x14ac:dyDescent="0.25">
      <c r="A24" s="1"/>
      <c r="B24" s="104" t="s">
        <v>42</v>
      </c>
      <c r="C24" s="105"/>
      <c r="D24" s="105"/>
      <c r="E24" s="105"/>
      <c r="F24" s="106"/>
      <c r="G24" s="22">
        <f>(SUM(G17:G19)-G20)*(1+'Fane 13. Nøgletal'!C11)</f>
        <v>11676269.000365239</v>
      </c>
      <c r="H24" s="14" t="s">
        <v>3</v>
      </c>
      <c r="I24" s="1"/>
    </row>
    <row r="25" spans="1:9" x14ac:dyDescent="0.25">
      <c r="A25" s="1"/>
      <c r="B25" s="107" t="s">
        <v>230</v>
      </c>
      <c r="C25" s="108"/>
      <c r="D25" s="108"/>
      <c r="E25" s="108"/>
      <c r="F25" s="109"/>
      <c r="G25" s="47">
        <v>1117924.0058111399</v>
      </c>
      <c r="H25" s="14" t="s">
        <v>3</v>
      </c>
      <c r="I25" s="1"/>
    </row>
    <row r="26" spans="1:9" x14ac:dyDescent="0.25">
      <c r="A26" s="1"/>
      <c r="B26" s="104" t="s">
        <v>43</v>
      </c>
      <c r="C26" s="105"/>
      <c r="D26" s="105"/>
      <c r="E26" s="105"/>
      <c r="F26" s="106"/>
      <c r="G26" s="22">
        <f>(G24+G25)*'Fane 13. Nøgletal'!C33</f>
        <v>255883.86012352759</v>
      </c>
      <c r="H26" s="14" t="s">
        <v>3</v>
      </c>
      <c r="I26" s="1"/>
    </row>
    <row r="27" spans="1:9" x14ac:dyDescent="0.25">
      <c r="A27" s="1"/>
      <c r="B27" s="51"/>
      <c r="C27" s="52"/>
      <c r="D27" s="52"/>
      <c r="E27" s="52"/>
      <c r="F27" s="52"/>
      <c r="G27" s="35"/>
      <c r="H27" s="19"/>
      <c r="I27" s="1"/>
    </row>
    <row r="28" spans="1:9" x14ac:dyDescent="0.25">
      <c r="A28" s="1"/>
      <c r="B28" s="1"/>
      <c r="C28" s="1"/>
      <c r="D28" s="1"/>
      <c r="E28" s="1"/>
      <c r="F28" s="1"/>
      <c r="G28" s="36"/>
      <c r="H28" s="1"/>
      <c r="I28" s="1"/>
    </row>
    <row r="29" spans="1:9" x14ac:dyDescent="0.25">
      <c r="A29" s="1"/>
      <c r="B29" s="101" t="s">
        <v>121</v>
      </c>
      <c r="C29" s="102"/>
      <c r="D29" s="102"/>
      <c r="E29" s="102"/>
      <c r="F29" s="102"/>
      <c r="G29" s="102"/>
      <c r="H29" s="103"/>
      <c r="I29" s="1"/>
    </row>
    <row r="30" spans="1:9" x14ac:dyDescent="0.25">
      <c r="A30" s="1"/>
      <c r="B30" s="104" t="s">
        <v>50</v>
      </c>
      <c r="C30" s="105"/>
      <c r="D30" s="105"/>
      <c r="E30" s="105"/>
      <c r="F30" s="106"/>
      <c r="G30" s="22">
        <f>(G24+G25-G26)*(1+'Fane 13. Nøgletal'!C13)</f>
        <v>12691276.517634695</v>
      </c>
      <c r="H30" s="14" t="s">
        <v>3</v>
      </c>
      <c r="I30" s="1"/>
    </row>
    <row r="31" spans="1:9" x14ac:dyDescent="0.25">
      <c r="A31" s="1"/>
      <c r="B31" s="104" t="s">
        <v>231</v>
      </c>
      <c r="C31" s="105"/>
      <c r="D31" s="105"/>
      <c r="E31" s="105"/>
      <c r="F31" s="106"/>
      <c r="G31" s="47">
        <v>313700.46202655998</v>
      </c>
      <c r="H31" s="14" t="s">
        <v>3</v>
      </c>
      <c r="I31" s="1"/>
    </row>
    <row r="32" spans="1:9" x14ac:dyDescent="0.25">
      <c r="A32" s="1"/>
      <c r="B32" s="104" t="s">
        <v>115</v>
      </c>
      <c r="C32" s="105"/>
      <c r="D32" s="105"/>
      <c r="E32" s="105"/>
      <c r="F32" s="106"/>
      <c r="G32" s="22">
        <f>(G30+G31)*'Fane 13. Nøgletal'!C33</f>
        <v>260099.53959322514</v>
      </c>
      <c r="H32" s="14" t="s">
        <v>3</v>
      </c>
      <c r="I32" s="1"/>
    </row>
    <row r="33" spans="1:9" x14ac:dyDescent="0.25">
      <c r="A33" s="1"/>
      <c r="B33" s="51"/>
      <c r="C33" s="52"/>
      <c r="D33" s="52"/>
      <c r="E33" s="52"/>
      <c r="F33" s="52"/>
      <c r="G33" s="35"/>
      <c r="H33" s="19"/>
      <c r="I33" s="1"/>
    </row>
    <row r="34" spans="1:9" x14ac:dyDescent="0.25">
      <c r="A34" s="1"/>
      <c r="B34" s="1"/>
      <c r="C34" s="1"/>
      <c r="D34" s="1"/>
      <c r="E34" s="1"/>
      <c r="F34" s="1"/>
      <c r="G34" s="36"/>
      <c r="H34" s="1"/>
      <c r="I34" s="1"/>
    </row>
    <row r="35" spans="1:9" x14ac:dyDescent="0.25">
      <c r="A35" s="1"/>
      <c r="B35" s="101" t="s">
        <v>122</v>
      </c>
      <c r="C35" s="102"/>
      <c r="D35" s="102"/>
      <c r="E35" s="102"/>
      <c r="F35" s="102"/>
      <c r="G35" s="102"/>
      <c r="H35" s="103"/>
      <c r="I35" s="1"/>
    </row>
    <row r="36" spans="1:9" x14ac:dyDescent="0.25">
      <c r="A36" s="1"/>
      <c r="B36" s="104" t="s">
        <v>69</v>
      </c>
      <c r="C36" s="105"/>
      <c r="D36" s="105"/>
      <c r="E36" s="105"/>
      <c r="F36" s="106"/>
      <c r="G36" s="22">
        <f>(G30+G31-G32)*(1+'Fane 13. Nøgletal'!C13)</f>
        <v>12900364.944836861</v>
      </c>
      <c r="H36" s="14" t="s">
        <v>3</v>
      </c>
      <c r="I36" s="1"/>
    </row>
    <row r="37" spans="1:9" x14ac:dyDescent="0.25">
      <c r="A37" s="1"/>
      <c r="B37" s="104" t="s">
        <v>232</v>
      </c>
      <c r="C37" s="105"/>
      <c r="D37" s="105"/>
      <c r="E37" s="105"/>
      <c r="F37" s="106"/>
      <c r="G37" s="47">
        <v>282655.33130111004</v>
      </c>
      <c r="H37" s="14" t="s">
        <v>3</v>
      </c>
      <c r="I37" s="1"/>
    </row>
    <row r="38" spans="1:9" x14ac:dyDescent="0.25">
      <c r="A38" s="1"/>
      <c r="B38" s="104" t="s">
        <v>123</v>
      </c>
      <c r="C38" s="105"/>
      <c r="D38" s="105"/>
      <c r="E38" s="105"/>
      <c r="F38" s="106"/>
      <c r="G38" s="22">
        <f>(G36+G37)*'Fane 13. Nøgletal'!C33</f>
        <v>263660.40552275942</v>
      </c>
      <c r="H38" s="14" t="s">
        <v>3</v>
      </c>
      <c r="I38" s="1"/>
    </row>
    <row r="39" spans="1:9" x14ac:dyDescent="0.25">
      <c r="A39" s="1"/>
      <c r="B39" s="51"/>
      <c r="C39" s="52"/>
      <c r="D39" s="52"/>
      <c r="E39" s="52"/>
      <c r="F39" s="52"/>
      <c r="G39" s="35"/>
      <c r="H39" s="19"/>
      <c r="I39" s="1"/>
    </row>
    <row r="40" spans="1:9" x14ac:dyDescent="0.25">
      <c r="A40" s="1"/>
      <c r="B40" s="1"/>
      <c r="C40" s="1"/>
      <c r="D40" s="1"/>
      <c r="E40" s="1"/>
      <c r="F40" s="1"/>
      <c r="G40" s="36"/>
      <c r="H40" s="1"/>
      <c r="I40" s="1"/>
    </row>
    <row r="41" spans="1:9" x14ac:dyDescent="0.25">
      <c r="A41" s="1"/>
      <c r="B41" s="101" t="s">
        <v>157</v>
      </c>
      <c r="C41" s="102"/>
      <c r="D41" s="102"/>
      <c r="E41" s="102"/>
      <c r="F41" s="102"/>
      <c r="G41" s="102"/>
      <c r="H41" s="103"/>
      <c r="I41" s="1"/>
    </row>
    <row r="42" spans="1:9" x14ac:dyDescent="0.25">
      <c r="A42" s="1"/>
      <c r="B42" s="104" t="s">
        <v>68</v>
      </c>
      <c r="C42" s="105"/>
      <c r="D42" s="105"/>
      <c r="E42" s="105"/>
      <c r="F42" s="106"/>
      <c r="G42" s="22">
        <f>(G36+G37-G38)*(1+'Fane 13. Nøgletal'!C15)</f>
        <v>13379289.082009112</v>
      </c>
      <c r="H42" s="14" t="s">
        <v>3</v>
      </c>
      <c r="I42" s="1"/>
    </row>
    <row r="43" spans="1:9" x14ac:dyDescent="0.25">
      <c r="A43" s="1"/>
      <c r="B43" s="104" t="s">
        <v>156</v>
      </c>
      <c r="C43" s="105"/>
      <c r="D43" s="105"/>
      <c r="E43" s="105"/>
      <c r="F43" s="106"/>
      <c r="G43" s="22">
        <v>860923.17324000003</v>
      </c>
      <c r="H43" s="14" t="s">
        <v>3</v>
      </c>
      <c r="I43" s="1"/>
    </row>
    <row r="44" spans="1:9" x14ac:dyDescent="0.25">
      <c r="A44" s="1"/>
      <c r="B44" s="104" t="s">
        <v>166</v>
      </c>
      <c r="C44" s="105"/>
      <c r="D44" s="105"/>
      <c r="E44" s="105"/>
      <c r="F44" s="106"/>
      <c r="G44" s="22">
        <f>(G42+G43)*'Fane 13. Nøgletal'!C33</f>
        <v>284804.24510498228</v>
      </c>
      <c r="H44" s="14" t="s">
        <v>3</v>
      </c>
      <c r="I44" s="1"/>
    </row>
    <row r="45" spans="1:9" x14ac:dyDescent="0.25">
      <c r="A45" s="1"/>
      <c r="B45" s="51"/>
      <c r="C45" s="52"/>
      <c r="D45" s="52"/>
      <c r="E45" s="52"/>
      <c r="F45" s="52"/>
      <c r="G45" s="35"/>
      <c r="H45" s="19"/>
      <c r="I45" s="1"/>
    </row>
    <row r="46" spans="1:9" x14ac:dyDescent="0.25">
      <c r="A46" s="1"/>
      <c r="B46" s="1"/>
      <c r="C46" s="1"/>
      <c r="D46" s="1"/>
      <c r="E46" s="1"/>
      <c r="F46" s="1"/>
      <c r="G46" s="36"/>
      <c r="H46" s="1"/>
      <c r="I46" s="1"/>
    </row>
    <row r="47" spans="1:9" x14ac:dyDescent="0.25">
      <c r="A47" s="1"/>
      <c r="B47" s="101" t="s">
        <v>158</v>
      </c>
      <c r="C47" s="102"/>
      <c r="D47" s="102"/>
      <c r="E47" s="102"/>
      <c r="F47" s="102"/>
      <c r="G47" s="102"/>
      <c r="H47" s="103"/>
      <c r="I47" s="1"/>
    </row>
    <row r="48" spans="1:9" x14ac:dyDescent="0.25">
      <c r="A48" s="1"/>
      <c r="B48" s="104" t="s">
        <v>112</v>
      </c>
      <c r="C48" s="105"/>
      <c r="D48" s="105"/>
      <c r="E48" s="105"/>
      <c r="F48" s="106"/>
      <c r="G48" s="22">
        <f>(G42+G43-G44)*(1+'Fane 13. Nøgletal'!C15)</f>
        <v>14452220.535305263</v>
      </c>
      <c r="H48" s="14" t="s">
        <v>3</v>
      </c>
      <c r="I48" s="1"/>
    </row>
    <row r="49" spans="1:9" x14ac:dyDescent="0.25">
      <c r="A49" s="1"/>
      <c r="B49" s="104" t="s">
        <v>206</v>
      </c>
      <c r="C49" s="105"/>
      <c r="D49" s="105"/>
      <c r="E49" s="105"/>
      <c r="F49" s="106"/>
      <c r="G49" s="22">
        <f>('Fane 2.1. Økonomisk ramme 2024'!C9+'Fane 2.1. Økonomisk ramme 2024'!C11+'Fane 2.1. Økonomisk ramme 2024'!C13)*(1+'Fane 13. Nøgletal'!C16)</f>
        <v>1041850.42963008</v>
      </c>
      <c r="H49" s="14" t="s">
        <v>3</v>
      </c>
      <c r="I49" s="1"/>
    </row>
    <row r="50" spans="1:9" x14ac:dyDescent="0.25">
      <c r="A50" s="1"/>
      <c r="B50" s="104" t="s">
        <v>167</v>
      </c>
      <c r="C50" s="105"/>
      <c r="D50" s="105"/>
      <c r="E50" s="105"/>
      <c r="F50" s="106"/>
      <c r="G50" s="22">
        <f>G48*'Fane 13. Nøgletal'!C33+G49*'Fane 13. Nøgletal'!C33</f>
        <v>309881.41929870687</v>
      </c>
      <c r="H50" s="14" t="s">
        <v>3</v>
      </c>
      <c r="I50" s="1"/>
    </row>
    <row r="51" spans="1:9" x14ac:dyDescent="0.25">
      <c r="A51" s="1"/>
      <c r="B51" s="51"/>
      <c r="C51" s="52"/>
      <c r="D51" s="52"/>
      <c r="E51" s="52"/>
      <c r="F51" s="52"/>
      <c r="G51" s="35"/>
      <c r="H51" s="19"/>
      <c r="I51" s="1"/>
    </row>
    <row r="52" spans="1:9" x14ac:dyDescent="0.25">
      <c r="A52" s="1"/>
      <c r="B52" s="1"/>
      <c r="C52" s="1"/>
      <c r="D52" s="1"/>
      <c r="E52" s="1"/>
      <c r="F52" s="1"/>
      <c r="G52" s="36"/>
      <c r="H52" s="1"/>
      <c r="I52" s="1"/>
    </row>
    <row r="53" spans="1:9" x14ac:dyDescent="0.25">
      <c r="A53" s="1"/>
      <c r="B53" s="101" t="s">
        <v>133</v>
      </c>
      <c r="C53" s="102"/>
      <c r="D53" s="102"/>
      <c r="E53" s="102"/>
      <c r="F53" s="102"/>
      <c r="G53" s="102"/>
      <c r="H53" s="103"/>
      <c r="I53" s="1"/>
    </row>
    <row r="54" spans="1:9" x14ac:dyDescent="0.25">
      <c r="A54" s="1"/>
      <c r="B54" s="104" t="s">
        <v>134</v>
      </c>
      <c r="C54" s="105"/>
      <c r="D54" s="105"/>
      <c r="E54" s="105"/>
      <c r="F54" s="106"/>
      <c r="G54" s="22">
        <f>(G48+G49-G50)*(1+'Fane 13. Nøgletal'!C16)</f>
        <v>16411072.060924077</v>
      </c>
      <c r="H54" s="14" t="s">
        <v>3</v>
      </c>
      <c r="I54" s="1"/>
    </row>
    <row r="55" spans="1:9" x14ac:dyDescent="0.25">
      <c r="A55" s="1"/>
      <c r="B55" s="104" t="s">
        <v>135</v>
      </c>
      <c r="C55" s="105"/>
      <c r="D55" s="105"/>
      <c r="E55" s="105"/>
      <c r="F55" s="106"/>
      <c r="G55" s="22">
        <f>(G54)*'Fane 13. Nøgletal'!C33</f>
        <v>328221.44121848157</v>
      </c>
      <c r="H55" s="14" t="s">
        <v>3</v>
      </c>
      <c r="I55" s="1"/>
    </row>
    <row r="56" spans="1:9" x14ac:dyDescent="0.25">
      <c r="A56" s="1"/>
      <c r="B56" s="51"/>
      <c r="C56" s="52"/>
      <c r="D56" s="52"/>
      <c r="E56" s="52"/>
      <c r="F56" s="52"/>
      <c r="G56" s="35"/>
      <c r="H56" s="19"/>
      <c r="I56" s="1"/>
    </row>
    <row r="57" spans="1:9" x14ac:dyDescent="0.25">
      <c r="A57" s="1"/>
      <c r="B57" s="1"/>
      <c r="C57" s="1"/>
      <c r="D57" s="1"/>
      <c r="E57" s="1"/>
      <c r="F57" s="1"/>
      <c r="G57" s="36"/>
      <c r="H57" s="1"/>
      <c r="I57" s="1"/>
    </row>
    <row r="58" spans="1:9" x14ac:dyDescent="0.25">
      <c r="A58" s="1"/>
      <c r="B58" s="101" t="s">
        <v>144</v>
      </c>
      <c r="C58" s="102"/>
      <c r="D58" s="102"/>
      <c r="E58" s="102"/>
      <c r="F58" s="102"/>
      <c r="G58" s="102"/>
      <c r="H58" s="103"/>
      <c r="I58" s="1"/>
    </row>
    <row r="59" spans="1:9" x14ac:dyDescent="0.25">
      <c r="A59" s="1"/>
      <c r="B59" s="104" t="s">
        <v>145</v>
      </c>
      <c r="C59" s="105"/>
      <c r="D59" s="105"/>
      <c r="E59" s="105"/>
      <c r="F59" s="106"/>
      <c r="G59" s="22">
        <f>(G54-G55)*(1+'Fane 13. Nøgletal'!C16)</f>
        <v>17382344.949777808</v>
      </c>
      <c r="H59" s="14" t="s">
        <v>3</v>
      </c>
      <c r="I59" s="1"/>
    </row>
    <row r="60" spans="1:9" x14ac:dyDescent="0.25">
      <c r="A60" s="1"/>
      <c r="B60" s="104" t="s">
        <v>146</v>
      </c>
      <c r="C60" s="105"/>
      <c r="D60" s="105"/>
      <c r="E60" s="105"/>
      <c r="F60" s="106"/>
      <c r="G60" s="22">
        <f>(G59)*'Fane 13. Nøgletal'!C33</f>
        <v>347646.89899555617</v>
      </c>
      <c r="H60" s="14" t="s">
        <v>3</v>
      </c>
      <c r="I60" s="1"/>
    </row>
    <row r="61" spans="1:9" x14ac:dyDescent="0.25">
      <c r="A61" s="1"/>
      <c r="B61" s="51"/>
      <c r="C61" s="52"/>
      <c r="D61" s="52"/>
      <c r="E61" s="52"/>
      <c r="F61" s="52"/>
      <c r="G61" s="35"/>
      <c r="H61" s="19"/>
      <c r="I61" s="1"/>
    </row>
    <row r="62" spans="1:9" x14ac:dyDescent="0.25">
      <c r="A62" s="1"/>
      <c r="B62" s="1"/>
      <c r="C62" s="1"/>
      <c r="D62" s="1"/>
      <c r="E62" s="1"/>
      <c r="F62" s="1"/>
      <c r="G62" s="36"/>
      <c r="H62" s="1"/>
      <c r="I62" s="1"/>
    </row>
    <row r="63" spans="1:9" x14ac:dyDescent="0.25">
      <c r="A63" s="1"/>
      <c r="B63" s="101" t="s">
        <v>220</v>
      </c>
      <c r="C63" s="102"/>
      <c r="D63" s="102"/>
      <c r="E63" s="102"/>
      <c r="F63" s="102"/>
      <c r="G63" s="102"/>
      <c r="H63" s="103"/>
      <c r="I63" s="1"/>
    </row>
    <row r="64" spans="1:9" x14ac:dyDescent="0.25">
      <c r="A64" s="1"/>
      <c r="B64" s="104" t="s">
        <v>221</v>
      </c>
      <c r="C64" s="105"/>
      <c r="D64" s="105"/>
      <c r="E64" s="105"/>
      <c r="F64" s="106"/>
      <c r="G64" s="22">
        <f>(G59-G60)*(1+'Fane 13. Nøgletal'!C16)</f>
        <v>18411101.653285459</v>
      </c>
      <c r="H64" s="14" t="s">
        <v>3</v>
      </c>
      <c r="I64" s="1"/>
    </row>
    <row r="65" spans="1:9" x14ac:dyDescent="0.25">
      <c r="A65" s="1"/>
      <c r="B65" s="104" t="s">
        <v>222</v>
      </c>
      <c r="C65" s="105"/>
      <c r="D65" s="105"/>
      <c r="E65" s="105"/>
      <c r="F65" s="106"/>
      <c r="G65" s="22">
        <f>(G64)*'Fane 13. Nøgletal'!C33</f>
        <v>368222.03306570917</v>
      </c>
      <c r="H65" s="14" t="s">
        <v>3</v>
      </c>
      <c r="I65" s="1"/>
    </row>
    <row r="66" spans="1:9" x14ac:dyDescent="0.25">
      <c r="A66" s="1"/>
      <c r="B66" s="51"/>
      <c r="C66" s="52"/>
      <c r="D66" s="52"/>
      <c r="E66" s="52"/>
      <c r="F66" s="52"/>
      <c r="G66" s="48"/>
      <c r="H66" s="19"/>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MRy7MvPLz47qR73bAdL3/ogbAXqS9t8v6hvNiRE7Gmy/N6AqxQThY7BW+NLS1UYqDj/Hlr9gt9NxZmf8IUKxXw==" saltValue="vNAi0wdr0KmOmcKF9Eng2w==" spinCount="100000" sheet="1" objects="1" scenarios="1"/>
  <mergeCells count="42">
    <mergeCell ref="B17:F17"/>
    <mergeCell ref="B19:F19"/>
    <mergeCell ref="B18:F18"/>
    <mergeCell ref="B20:F20"/>
    <mergeCell ref="B24:F24"/>
    <mergeCell ref="B16:H16"/>
    <mergeCell ref="B1:H3"/>
    <mergeCell ref="B4:H4"/>
    <mergeCell ref="B5:F5"/>
    <mergeCell ref="B6:F6"/>
    <mergeCell ref="B10:F10"/>
    <mergeCell ref="B9:H9"/>
    <mergeCell ref="B12:F12"/>
    <mergeCell ref="B13:F13"/>
    <mergeCell ref="B26:F26"/>
    <mergeCell ref="B36:F36"/>
    <mergeCell ref="B31:F31"/>
    <mergeCell ref="B32:F32"/>
    <mergeCell ref="B23:H23"/>
    <mergeCell ref="B25:F25"/>
    <mergeCell ref="B29:H29"/>
    <mergeCell ref="B30:F30"/>
    <mergeCell ref="B35:H35"/>
    <mergeCell ref="B38:F38"/>
    <mergeCell ref="B47:H47"/>
    <mergeCell ref="B49:F49"/>
    <mergeCell ref="B37:F37"/>
    <mergeCell ref="B58:H58"/>
    <mergeCell ref="B48:F48"/>
    <mergeCell ref="B50:F50"/>
    <mergeCell ref="B41:H41"/>
    <mergeCell ref="B42:F42"/>
    <mergeCell ref="B44:F44"/>
    <mergeCell ref="B43:F43"/>
    <mergeCell ref="B63:H63"/>
    <mergeCell ref="B64:F64"/>
    <mergeCell ref="B65:F65"/>
    <mergeCell ref="B60:F60"/>
    <mergeCell ref="B53:H53"/>
    <mergeCell ref="B54:F54"/>
    <mergeCell ref="B55:F55"/>
    <mergeCell ref="B59:F59"/>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1" t="s">
        <v>48</v>
      </c>
      <c r="C4" s="102"/>
      <c r="D4" s="102"/>
      <c r="E4" s="102"/>
      <c r="F4" s="102"/>
      <c r="G4" s="102"/>
      <c r="H4" s="103"/>
      <c r="I4" s="1"/>
    </row>
    <row r="5" spans="1:9" x14ac:dyDescent="0.25">
      <c r="A5" s="1"/>
      <c r="B5" s="104" t="s">
        <v>51</v>
      </c>
      <c r="C5" s="105"/>
      <c r="D5" s="105"/>
      <c r="E5" s="105"/>
      <c r="F5" s="106"/>
      <c r="G5" s="55">
        <v>0</v>
      </c>
      <c r="H5" s="14" t="s">
        <v>3</v>
      </c>
      <c r="I5" s="1"/>
    </row>
    <row r="6" spans="1:9" x14ac:dyDescent="0.25">
      <c r="A6" s="1"/>
      <c r="B6" s="104" t="s">
        <v>49</v>
      </c>
      <c r="C6" s="105"/>
      <c r="D6" s="105"/>
      <c r="E6" s="105"/>
      <c r="F6" s="106"/>
      <c r="G6" s="55">
        <v>0</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1" t="s">
        <v>52</v>
      </c>
      <c r="C9" s="102"/>
      <c r="D9" s="102"/>
      <c r="E9" s="102"/>
      <c r="F9" s="102"/>
      <c r="G9" s="102"/>
      <c r="H9" s="103"/>
      <c r="I9" s="1"/>
    </row>
    <row r="10" spans="1:9" x14ac:dyDescent="0.25">
      <c r="A10" s="1"/>
      <c r="B10" s="104" t="s">
        <v>53</v>
      </c>
      <c r="C10" s="105"/>
      <c r="D10" s="105"/>
      <c r="E10" s="105"/>
      <c r="F10" s="106"/>
      <c r="G10" s="55">
        <v>0</v>
      </c>
      <c r="H10" s="14" t="s">
        <v>3</v>
      </c>
      <c r="I10" s="1"/>
    </row>
    <row r="11" spans="1:9" x14ac:dyDescent="0.25">
      <c r="A11" s="1"/>
      <c r="B11" s="107" t="s">
        <v>54</v>
      </c>
      <c r="C11" s="108"/>
      <c r="D11" s="108"/>
      <c r="E11" s="108"/>
      <c r="F11" s="109"/>
      <c r="G11" s="55">
        <v>0</v>
      </c>
      <c r="H11" s="14" t="s">
        <v>3</v>
      </c>
      <c r="I11" s="1"/>
    </row>
    <row r="12" spans="1:9" x14ac:dyDescent="0.25">
      <c r="A12" s="1"/>
      <c r="B12" s="104" t="s">
        <v>55</v>
      </c>
      <c r="C12" s="105"/>
      <c r="D12" s="105"/>
      <c r="E12" s="105"/>
      <c r="F12" s="106"/>
      <c r="G12" s="55">
        <v>0</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1" t="s">
        <v>56</v>
      </c>
      <c r="C15" s="102"/>
      <c r="D15" s="102"/>
      <c r="E15" s="102"/>
      <c r="F15" s="102"/>
      <c r="G15" s="102"/>
      <c r="H15" s="103"/>
      <c r="I15" s="1"/>
    </row>
    <row r="16" spans="1:9" x14ac:dyDescent="0.25">
      <c r="A16" s="1"/>
      <c r="B16" s="104" t="s">
        <v>57</v>
      </c>
      <c r="C16" s="105"/>
      <c r="D16" s="105"/>
      <c r="E16" s="105"/>
      <c r="F16" s="106"/>
      <c r="G16" s="55">
        <v>0</v>
      </c>
      <c r="H16" s="14" t="s">
        <v>3</v>
      </c>
      <c r="I16" s="1"/>
    </row>
    <row r="17" spans="1:9" x14ac:dyDescent="0.25">
      <c r="A17" s="1"/>
      <c r="B17" s="104" t="s">
        <v>101</v>
      </c>
      <c r="C17" s="105"/>
      <c r="D17" s="105"/>
      <c r="E17" s="105"/>
      <c r="F17" s="106"/>
      <c r="G17" s="55">
        <v>0</v>
      </c>
      <c r="H17" s="14" t="s">
        <v>3</v>
      </c>
      <c r="I17" s="1"/>
    </row>
    <row r="18" spans="1:9" x14ac:dyDescent="0.25">
      <c r="A18" s="1"/>
      <c r="B18" s="107" t="s">
        <v>58</v>
      </c>
      <c r="C18" s="108"/>
      <c r="D18" s="108"/>
      <c r="E18" s="108"/>
      <c r="F18" s="109"/>
      <c r="G18" s="55">
        <v>0</v>
      </c>
      <c r="H18" s="14" t="s">
        <v>3</v>
      </c>
      <c r="I18" s="1"/>
    </row>
    <row r="19" spans="1:9" x14ac:dyDescent="0.25">
      <c r="A19" s="1"/>
      <c r="B19" s="104" t="s">
        <v>59</v>
      </c>
      <c r="C19" s="105"/>
      <c r="D19" s="105"/>
      <c r="E19" s="105"/>
      <c r="F19" s="106"/>
      <c r="G19" s="55">
        <v>0</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1" t="s">
        <v>60</v>
      </c>
      <c r="C22" s="102"/>
      <c r="D22" s="102"/>
      <c r="E22" s="102"/>
      <c r="F22" s="102"/>
      <c r="G22" s="102"/>
      <c r="H22" s="103"/>
      <c r="I22" s="1"/>
    </row>
    <row r="23" spans="1:9" x14ac:dyDescent="0.25">
      <c r="A23" s="1"/>
      <c r="B23" s="104" t="s">
        <v>61</v>
      </c>
      <c r="C23" s="105"/>
      <c r="D23" s="105"/>
      <c r="E23" s="105"/>
      <c r="F23" s="106"/>
      <c r="G23" s="55">
        <f>(SUM(G16:G18)-G19)*(1+'Fane 13. Nøgletal'!C11)</f>
        <v>0</v>
      </c>
      <c r="H23" s="14" t="s">
        <v>3</v>
      </c>
      <c r="I23" s="1"/>
    </row>
    <row r="24" spans="1:9" x14ac:dyDescent="0.25">
      <c r="A24" s="1"/>
      <c r="B24" s="107" t="s">
        <v>62</v>
      </c>
      <c r="C24" s="108"/>
      <c r="D24" s="108"/>
      <c r="E24" s="108"/>
      <c r="F24" s="109"/>
      <c r="G24" s="55">
        <f>(SUM(G17:G19)-G20)*(1+'Fane 13. Nøgletal'!C12)</f>
        <v>0</v>
      </c>
      <c r="H24" s="14" t="s">
        <v>3</v>
      </c>
      <c r="I24" s="1"/>
    </row>
    <row r="25" spans="1:9" x14ac:dyDescent="0.25">
      <c r="A25" s="1"/>
      <c r="B25" s="104" t="s">
        <v>63</v>
      </c>
      <c r="C25" s="105"/>
      <c r="D25" s="105"/>
      <c r="E25" s="105"/>
      <c r="F25" s="106"/>
      <c r="G25" s="55">
        <f>(SUM(G18:G20)-G21)*(1+'Fane 13. Nøgletal'!C13)</f>
        <v>0</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1" t="s">
        <v>119</v>
      </c>
      <c r="C28" s="102"/>
      <c r="D28" s="102"/>
      <c r="E28" s="102"/>
      <c r="F28" s="102"/>
      <c r="G28" s="102"/>
      <c r="H28" s="103"/>
      <c r="I28" s="1"/>
    </row>
    <row r="29" spans="1:9" x14ac:dyDescent="0.25">
      <c r="A29" s="1"/>
      <c r="B29" s="104" t="s">
        <v>64</v>
      </c>
      <c r="C29" s="105"/>
      <c r="D29" s="105"/>
      <c r="E29" s="105"/>
      <c r="F29" s="106"/>
      <c r="G29" s="55">
        <f>(G23+G24-G25)*(1+'Fane 13. Nøgletal'!C13)</f>
        <v>0</v>
      </c>
      <c r="H29" s="14" t="s">
        <v>3</v>
      </c>
      <c r="I29" s="1"/>
    </row>
    <row r="30" spans="1:9" x14ac:dyDescent="0.25">
      <c r="A30" s="1"/>
      <c r="B30" s="104" t="s">
        <v>113</v>
      </c>
      <c r="C30" s="105"/>
      <c r="D30" s="105"/>
      <c r="E30" s="105"/>
      <c r="F30" s="106"/>
      <c r="G30" s="55">
        <v>0</v>
      </c>
      <c r="H30" s="14" t="s">
        <v>3</v>
      </c>
      <c r="I30" s="1"/>
    </row>
    <row r="31" spans="1:9" x14ac:dyDescent="0.25">
      <c r="A31" s="1"/>
      <c r="B31" s="104" t="s">
        <v>120</v>
      </c>
      <c r="C31" s="105"/>
      <c r="D31" s="105"/>
      <c r="E31" s="105"/>
      <c r="F31" s="106"/>
      <c r="G31" s="55">
        <f>(G29+G30)*'Fane 13. Nøgletal'!C25</f>
        <v>0</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1" t="s">
        <v>124</v>
      </c>
      <c r="C34" s="102"/>
      <c r="D34" s="102"/>
      <c r="E34" s="102"/>
      <c r="F34" s="102"/>
      <c r="G34" s="102"/>
      <c r="H34" s="103"/>
      <c r="I34" s="1"/>
    </row>
    <row r="35" spans="1:9" x14ac:dyDescent="0.25">
      <c r="A35" s="1"/>
      <c r="B35" s="104" t="s">
        <v>67</v>
      </c>
      <c r="C35" s="105"/>
      <c r="D35" s="105"/>
      <c r="E35" s="105"/>
      <c r="F35" s="106"/>
      <c r="G35" s="55">
        <f>(G29+G30-G31)*(1+'Fane 13. Nøgletal'!C13)</f>
        <v>0</v>
      </c>
      <c r="H35" s="14" t="s">
        <v>3</v>
      </c>
      <c r="I35" s="1"/>
    </row>
    <row r="36" spans="1:9" x14ac:dyDescent="0.25">
      <c r="A36" s="1"/>
      <c r="B36" s="104" t="s">
        <v>129</v>
      </c>
      <c r="C36" s="105"/>
      <c r="D36" s="105"/>
      <c r="E36" s="105"/>
      <c r="F36" s="106"/>
      <c r="G36" s="55">
        <v>0</v>
      </c>
      <c r="H36" s="14" t="s">
        <v>3</v>
      </c>
      <c r="I36" s="1"/>
    </row>
    <row r="37" spans="1:9" x14ac:dyDescent="0.25">
      <c r="A37" s="1"/>
      <c r="B37" s="104" t="s">
        <v>125</v>
      </c>
      <c r="C37" s="105"/>
      <c r="D37" s="105"/>
      <c r="E37" s="105"/>
      <c r="F37" s="106"/>
      <c r="G37" s="55">
        <f>G35*'Fane 13. Nøgletal'!C25+G36*'Fane 13. Nøgletal'!C26</f>
        <v>0</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1" t="s">
        <v>159</v>
      </c>
      <c r="C40" s="102"/>
      <c r="D40" s="102"/>
      <c r="E40" s="102"/>
      <c r="F40" s="102"/>
      <c r="G40" s="102"/>
      <c r="H40" s="103"/>
      <c r="I40" s="1"/>
    </row>
    <row r="41" spans="1:9" x14ac:dyDescent="0.25">
      <c r="A41" s="1"/>
      <c r="B41" s="104" t="s">
        <v>66</v>
      </c>
      <c r="C41" s="105"/>
      <c r="D41" s="105"/>
      <c r="E41" s="105"/>
      <c r="F41" s="106"/>
      <c r="G41" s="55">
        <f>(G35+G36-G37)*(1+'Fane 13. Nøgletal'!C15)</f>
        <v>0</v>
      </c>
      <c r="H41" s="14" t="s">
        <v>3</v>
      </c>
      <c r="I41" s="1"/>
    </row>
    <row r="42" spans="1:9" x14ac:dyDescent="0.25">
      <c r="A42" s="1"/>
      <c r="B42" s="104" t="s">
        <v>169</v>
      </c>
      <c r="C42" s="105"/>
      <c r="D42" s="105"/>
      <c r="E42" s="105"/>
      <c r="F42" s="106"/>
      <c r="G42" s="55">
        <v>0</v>
      </c>
      <c r="H42" s="14" t="s">
        <v>3</v>
      </c>
      <c r="I42" s="1"/>
    </row>
    <row r="43" spans="1:9" x14ac:dyDescent="0.25">
      <c r="A43" s="1"/>
      <c r="B43" s="104" t="s">
        <v>65</v>
      </c>
      <c r="C43" s="105"/>
      <c r="D43" s="105"/>
      <c r="E43" s="105"/>
      <c r="F43" s="106"/>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1" t="s">
        <v>160</v>
      </c>
      <c r="C46" s="102"/>
      <c r="D46" s="102"/>
      <c r="E46" s="102"/>
      <c r="F46" s="102"/>
      <c r="G46" s="102"/>
      <c r="H46" s="103"/>
      <c r="I46" s="1"/>
    </row>
    <row r="47" spans="1:9" x14ac:dyDescent="0.25">
      <c r="A47" s="1"/>
      <c r="B47" s="104" t="s">
        <v>114</v>
      </c>
      <c r="C47" s="105"/>
      <c r="D47" s="105"/>
      <c r="E47" s="105"/>
      <c r="F47" s="106"/>
      <c r="G47" s="55">
        <f>(G41+G42-G43)*(1+'Fane 13. Nøgletal'!C15)</f>
        <v>0</v>
      </c>
      <c r="H47" s="14" t="s">
        <v>3</v>
      </c>
      <c r="I47" s="1"/>
    </row>
    <row r="48" spans="1:9" x14ac:dyDescent="0.25">
      <c r="A48" s="1"/>
      <c r="B48" s="104" t="s">
        <v>210</v>
      </c>
      <c r="C48" s="105"/>
      <c r="D48" s="105"/>
      <c r="E48" s="105"/>
      <c r="F48" s="106"/>
      <c r="G48" s="22">
        <f>('Fane 2.1. Økonomisk ramme 2024'!C10+'Fane 2.1. Økonomisk ramme 2024'!C12+'Fane 2.1. Økonomisk ramme 2024'!C14)*(1+'Fane 13. Nøgletal'!C16)</f>
        <v>20689.89447168</v>
      </c>
      <c r="H48" s="14" t="s">
        <v>3</v>
      </c>
      <c r="I48" s="1"/>
    </row>
    <row r="49" spans="1:9" x14ac:dyDescent="0.25">
      <c r="A49" s="1"/>
      <c r="B49" s="104" t="s">
        <v>211</v>
      </c>
      <c r="C49" s="105"/>
      <c r="D49" s="105"/>
      <c r="E49" s="105"/>
      <c r="F49" s="106"/>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1" t="s">
        <v>130</v>
      </c>
      <c r="C52" s="102"/>
      <c r="D52" s="102"/>
      <c r="E52" s="102"/>
      <c r="F52" s="102"/>
      <c r="G52" s="102"/>
      <c r="H52" s="103"/>
      <c r="I52" s="1"/>
    </row>
    <row r="53" spans="1:9" x14ac:dyDescent="0.25">
      <c r="A53" s="1"/>
      <c r="B53" s="104" t="s">
        <v>131</v>
      </c>
      <c r="C53" s="105"/>
      <c r="D53" s="105"/>
      <c r="E53" s="105"/>
      <c r="F53" s="106"/>
      <c r="G53" s="22">
        <f>(G47+G48-G49)*(1+'Fane 13. Nøgletal'!C16)</f>
        <v>22361.637944991744</v>
      </c>
      <c r="H53" s="14" t="s">
        <v>3</v>
      </c>
      <c r="I53" s="1"/>
    </row>
    <row r="54" spans="1:9" x14ac:dyDescent="0.25">
      <c r="A54" s="1"/>
      <c r="B54" s="104" t="s">
        <v>132</v>
      </c>
      <c r="C54" s="105"/>
      <c r="D54" s="105"/>
      <c r="E54" s="105"/>
      <c r="F54" s="106"/>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1" t="s">
        <v>147</v>
      </c>
      <c r="C57" s="102"/>
      <c r="D57" s="102"/>
      <c r="E57" s="102"/>
      <c r="F57" s="102"/>
      <c r="G57" s="102"/>
      <c r="H57" s="103"/>
      <c r="I57" s="1"/>
    </row>
    <row r="58" spans="1:9" x14ac:dyDescent="0.25">
      <c r="A58" s="1"/>
      <c r="B58" s="104" t="s">
        <v>148</v>
      </c>
      <c r="C58" s="105"/>
      <c r="D58" s="105"/>
      <c r="E58" s="105"/>
      <c r="F58" s="106"/>
      <c r="G58" s="22">
        <f>(G53-G54)*(1+'Fane 13. Nøgletal'!C16)</f>
        <v>24168.458290947077</v>
      </c>
      <c r="H58" s="14" t="s">
        <v>3</v>
      </c>
      <c r="I58" s="1"/>
    </row>
    <row r="59" spans="1:9" x14ac:dyDescent="0.25">
      <c r="A59" s="1"/>
      <c r="B59" s="104" t="s">
        <v>149</v>
      </c>
      <c r="C59" s="105"/>
      <c r="D59" s="105"/>
      <c r="E59" s="105"/>
      <c r="F59" s="106"/>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1" t="s">
        <v>223</v>
      </c>
      <c r="C62" s="102"/>
      <c r="D62" s="102"/>
      <c r="E62" s="102"/>
      <c r="F62" s="102"/>
      <c r="G62" s="102"/>
      <c r="H62" s="103"/>
      <c r="I62" s="1"/>
    </row>
    <row r="63" spans="1:9" x14ac:dyDescent="0.25">
      <c r="A63" s="1"/>
      <c r="B63" s="104" t="s">
        <v>224</v>
      </c>
      <c r="C63" s="105"/>
      <c r="D63" s="105"/>
      <c r="E63" s="105"/>
      <c r="F63" s="106"/>
      <c r="G63" s="22">
        <f>(G58-G59)*(1+'Fane 13. Nøgletal'!C16)</f>
        <v>26121.269720855602</v>
      </c>
      <c r="H63" s="14" t="s">
        <v>3</v>
      </c>
      <c r="I63" s="1"/>
    </row>
    <row r="64" spans="1:9" x14ac:dyDescent="0.25">
      <c r="A64" s="1"/>
      <c r="B64" s="104" t="s">
        <v>225</v>
      </c>
      <c r="C64" s="105"/>
      <c r="D64" s="105"/>
      <c r="E64" s="105"/>
      <c r="F64" s="106"/>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5Ppo9QWEyoagNJlQLi7BPCu87AXQq22gj5O827OzbL4Tv+ed9MktMGUv/ahhvbMMLPg/0cb7nkOY2kMzKs8JAw==" saltValue="UyiwiLFSzkaP1F3DRrUtlQ=="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1" t="s">
        <v>9</v>
      </c>
      <c r="C8" s="102"/>
      <c r="D8" s="102"/>
      <c r="E8" s="102"/>
      <c r="F8" s="102"/>
      <c r="G8" s="103"/>
      <c r="H8" s="1"/>
    </row>
    <row r="9" spans="1:8" x14ac:dyDescent="0.25">
      <c r="A9" s="1"/>
      <c r="B9" s="64" t="s">
        <v>150</v>
      </c>
      <c r="C9" s="65"/>
      <c r="D9" s="65"/>
      <c r="E9" s="65"/>
      <c r="F9" s="66"/>
      <c r="G9" s="50"/>
      <c r="H9" s="1"/>
    </row>
    <row r="10" spans="1:8" x14ac:dyDescent="0.25">
      <c r="A10" s="1"/>
      <c r="B10" s="51"/>
      <c r="C10" s="52"/>
      <c r="D10" s="52"/>
      <c r="E10" s="52"/>
      <c r="F10" s="52"/>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3Fkq1Ak+nN/LoyPpR+tYXJVr6vHt+PpIs6ioKnkbzABAesHowljSRFY7FQNOBXebDuvUrBjFsb+sOWwRVBUUqA==" saltValue="gAssD0N926SFip9IpXJeR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2023-11-29T17:42:00Z</dcterms:modified>
</cp:coreProperties>
</file>