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Ishøj Spildevand AS (S053)\ØR2025\"/>
    </mc:Choice>
  </mc:AlternateContent>
  <xr:revisionPtr revIDLastSave="0" documentId="13_ncr:1_{2CB2BC8B-1B50-4697-BBDE-7182CFA4EAB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<sst xmlns="http://schemas.openxmlformats.org/spreadsheetml/2006/main" count="545" uniqueCount="231">
  <si>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</si>
  <si>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</si>
  <si>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</si>
  <si>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</si>
  <si>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</si>
  <si>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</si>
  <si>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</si>
  <si>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</si>
  <si>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</si>
  <si>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</si>
  <si>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</si>
  <si>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</si>
  <si>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</si>
  <si>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</si>
  <si>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</si>
  <si>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</si>
  <si>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</si>
  <si>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</si>
  <si>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</si>
  <si>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</si>
  <si>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</si>
  <si>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</si>
  <si>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</si>
  <si>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</si>
  <si>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</si>
  <si>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</si>
  <si>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</si>
  <si>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</si>
  <si>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</si>
  <si>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</si>
  <si>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</si>
  <si>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</si>
  <si>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</si>
  <si>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</si>
  <si>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</si>
  <si>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</si>
  <si>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</si>
  <si>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</si>
  <si>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</si>
  <si>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</si>
  <si>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</si>
  <si>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</si>
  <si>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</si>
  <si>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</si>
  <si>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</si>
  <si>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</si>
  <si>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</si>
  <si>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</si>
  <si>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</si>
  <si>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</si>
  <si>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</si>
  <si>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</si>
  <si>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</si>
  <si>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</si>
  <si>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</si>
  <si>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</si>
  <si>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</si>
  <si>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</si>
  <si>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</si>
  <si>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</si>
  <si>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</si>
  <si>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</si>
  <si>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</si>
  <si>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</si>
  <si>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</si>
  <si>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</si>
  <si>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</si>
  <si>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</si>
  <si>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</si>
  <si>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</si>
  <si>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</si>
  <si>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</si>
  <si>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</si>
  <si>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</si>
  <si>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</si>
  <si>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</si>
  <si>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</si>
  <si>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</si>
  <si>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</si>
  <si>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</si>
  <si>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</si>
  <si>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</si>
  <si>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</si>
  <si>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</si>
  <si>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</si>
  <si>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</si>
  <si>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</si>
  <si>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</si>
  <si>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</si>
  <si>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</si>
  <si>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</si>
  <si>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</si>
  <si>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</si>
  <si>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</si>
  <si>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</si>
  <si>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</si>
  <si>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</si>
  <si>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</si>
  <si>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</si>
  <si>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</si>
  <si>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</si>
  <si>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</si>
  <si>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</si>
  <si>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</si>
  <si>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</si>
  <si>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</si>
  <si>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</si>
  <si>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</si>
  <si>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</si>
  <si>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</si>
  <si>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</si>
  <si>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</si>
  <si>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</si>
  <si>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</si>
  <si>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</si>
  <si>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</si>
  <si>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</si>
  <si>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</si>
  <si>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</si>
  <si>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</si>
  <si>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</si>
  <si>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</si>
  <si>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</si>
  <si>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</si>
  <si>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</si>
  <si>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</si>
  <si>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</si>
  <si>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</si>
  <si>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</si>
  <si>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</si>
  <si>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</si>
  <si>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</si>
  <si>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</si>
  <si>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</si>
  <si>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</si>
  <si>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</si>
  <si>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</si>
  <si>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</si>
  <si>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</si>
  <si>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</si>
  <si>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</si>
  <si>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</si>
  <si>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</si>
  <si>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</si>
  <si>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</si>
  <si>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</si>
  <si>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</si>
  <si>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</si>
  <si>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</si>
  <si>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</si>
  <si>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</si>
  <si>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</si>
  <si>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</si>
  <si>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</si>
  <si>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</si>
  <si>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</si>
  <si>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</si>
  <si>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</si>
  <si>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</si>
  <si>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</si>
  <si>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</si>
  <si>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</si>
  <si>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</si>
  <si>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</si>
  <si>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</si>
  <si>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</si>
  <si>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</si>
  <si>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</si>
  <si>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</si>
  <si>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</si>
  <si>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</si>
  <si>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</si>
  <si>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</si>
  <si>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</si>
  <si>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</si>
  <si>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</si>
  <si>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</si>
  <si>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</si>
  <si>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</si>
  <si>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</si>
  <si>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</si>
  <si>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</si>
  <si>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</si>
  <si>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</si>
  <si>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</si>
  <si>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</si>
  <si>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</si>
  <si>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</si>
  <si>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</si>
  <si>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</si>
  <si>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</si>
  <si>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</si>
  <si>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</si>
  <si>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</si>
  <si>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</si>
  <si>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</si>
  <si>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</si>
  <si>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</si>
  <si>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</si>
  <si>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</si>
  <si>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</si>
  <si>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</si>
  <si>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</si>
  <si>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</si>
  <si>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</si>
  <si>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</si>
  <si>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</si>
  <si>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</si>
  <si>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</si>
  <si>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</si>
  <si>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</si>
  <si>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</si>
  <si>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</si>
  <si>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</si>
  <si>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</si>
  <si>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</si>
  <si>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</si>
  <si>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</si>
  <si>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</si>
  <si>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</si>
  <si>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</si>
  <si>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</si>
  <si>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</si>
  <si>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</si>
  <si>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</si>
  <si>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</si>
  <si>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</si>
  <si>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</si>
  <si>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Til statusmeddelelse for 2025</t>
  </si>
  <si>
    <t>Byggemodning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</si>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</sst>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228</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6RvZmn70uObbNcZJgKL2irZy8E+VRJcDuiKwm1tbXq2SFvVz+FXWR1uPIe340072z5pHHA4OBzt/hNIIa5/dlQ==" saltValue="GBd5slOcJYWaqKlziPs51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226</v>
      </c>
      <c r="C10" s="73">
        <v>59590</v>
      </c>
      <c r="D10" s="14" t="s">
        <v>3</v>
      </c>
      <c r="E10" s="1"/>
    </row>
    <row r="11" spans="1:5" ht="15" customHeight="1" x14ac:dyDescent="0.25">
      <c r="A11" s="1"/>
      <c r="B11" s="72" t="s">
        <v>227</v>
      </c>
      <c r="C11" s="73">
        <v>7506488</v>
      </c>
      <c r="D11" s="14" t="s">
        <v>3</v>
      </c>
      <c r="E11" s="1"/>
    </row>
    <row r="12" spans="1:5" x14ac:dyDescent="0.25">
      <c r="A12" s="1"/>
      <c r="B12" s="72"/>
      <c r="C12" s="73"/>
      <c r="D12" s="14" t="s">
        <v>3</v>
      </c>
      <c r="E12" s="1"/>
    </row>
    <row r="13" spans="1:5" x14ac:dyDescent="0.25">
      <c r="A13" s="1"/>
      <c r="B13" s="72"/>
      <c r="C13" s="73"/>
      <c r="D13" s="14" t="s">
        <v>3</v>
      </c>
      <c r="E13" s="1"/>
    </row>
    <row r="14" spans="1:5" x14ac:dyDescent="0.25">
      <c r="A14" s="1"/>
      <c r="B14" s="72"/>
      <c r="C14" s="73"/>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7566078</v>
      </c>
      <c r="D20" s="13" t="s">
        <v>3</v>
      </c>
      <c r="E20" s="1"/>
    </row>
    <row r="21" spans="1:5" x14ac:dyDescent="0.25">
      <c r="A21" s="1"/>
      <c r="B21" s="33" t="s">
        <v>168</v>
      </c>
      <c r="C21" s="12">
        <f>C20*(1+'Fane 15. Nøgletal'!C10)^2</f>
        <v>8602598.0762038194</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56510</v>
      </c>
      <c r="D25" s="14" t="s">
        <v>3</v>
      </c>
      <c r="E25" s="1"/>
    </row>
    <row r="26" spans="1:5" x14ac:dyDescent="0.25">
      <c r="A26" s="1"/>
      <c r="B26" s="37" t="s">
        <v>83</v>
      </c>
      <c r="C26" s="9">
        <v>2176</v>
      </c>
      <c r="D26" s="14" t="s">
        <v>3</v>
      </c>
      <c r="E26" s="1"/>
    </row>
    <row r="27" spans="1:5" x14ac:dyDescent="0.25">
      <c r="A27" s="1"/>
      <c r="B27" s="37" t="s">
        <v>148</v>
      </c>
      <c r="C27" s="9">
        <v>2209</v>
      </c>
      <c r="D27" s="14" t="s">
        <v>3</v>
      </c>
      <c r="E27" s="1"/>
    </row>
    <row r="28" spans="1:5" x14ac:dyDescent="0.25">
      <c r="A28" s="1"/>
      <c r="B28" s="34" t="s">
        <v>169</v>
      </c>
      <c r="C28" s="9">
        <v>2242</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205799</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pKcia5jkprLtJhTIDZa7ySZQC8fncp4iCK2H9oS3N4q44+MRFHdqY/g7WCV1YUm2Z7kbOZkFzm6dmU7uKwcBgw==" saltValue="HzJ6Lh1W54LF4J0aQSIgF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1276884.6760115735</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-236444</v>
      </c>
      <c r="D14" s="14" t="s">
        <v>3</v>
      </c>
      <c r="E14" s="1"/>
    </row>
    <row r="15" spans="1:5" x14ac:dyDescent="0.25">
      <c r="A15" s="1"/>
      <c r="B15" s="65" t="s">
        <v>203</v>
      </c>
      <c r="C15" s="9">
        <v>-236444</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28961287.287328877</v>
      </c>
      <c r="D20" s="14" t="s">
        <v>3</v>
      </c>
      <c r="E20" s="1"/>
    </row>
    <row r="21" spans="1:5" x14ac:dyDescent="0.25">
      <c r="A21" s="1"/>
      <c r="B21" s="65" t="s">
        <v>207</v>
      </c>
      <c r="C21" s="9">
        <v>30632710</v>
      </c>
      <c r="D21" s="14" t="s">
        <v>3</v>
      </c>
      <c r="E21" s="1"/>
    </row>
    <row r="22" spans="1:5" x14ac:dyDescent="0.25">
      <c r="A22" s="1"/>
      <c r="B22" s="65" t="s">
        <v>29</v>
      </c>
      <c r="C22" s="9">
        <v>0</v>
      </c>
      <c r="D22" s="14" t="s">
        <v>3</v>
      </c>
      <c r="E22" s="1"/>
    </row>
    <row r="23" spans="1:5" x14ac:dyDescent="0.25">
      <c r="A23" s="1"/>
      <c r="B23" s="82" t="s">
        <v>208</v>
      </c>
      <c r="C23" s="57">
        <f>C20-C21-C22</f>
        <v>-1671422.7126711234</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-236444</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-394538.03665954992</v>
      </c>
      <c r="D31" s="14" t="s">
        <v>3</v>
      </c>
      <c r="E31" s="1"/>
    </row>
    <row r="32" spans="1:5" x14ac:dyDescent="0.25">
      <c r="A32" s="1"/>
      <c r="B32" s="66" t="s">
        <v>49</v>
      </c>
      <c r="C32" s="9">
        <v>2</v>
      </c>
      <c r="D32" s="14" t="s">
        <v>20</v>
      </c>
      <c r="E32" s="1"/>
    </row>
    <row r="33" spans="1:5" x14ac:dyDescent="0.25">
      <c r="A33" s="1"/>
      <c r="B33" s="67" t="s">
        <v>70</v>
      </c>
      <c r="C33" s="57">
        <f>C31/C32</f>
        <v>-197269.01832977496</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0d8mCPKRUUIrWZtNNmxg96HBaoH3YROZbJLFecD+jQpiqt2jLkgXphAgJUBA2UB3Zt8rHOeuBaKhpFgnq0Au1A==" saltValue="D8deeqiYjpoRVKcL0/Q1m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ey/MdfpK8h9Yrym2DfOsflfdUznjaex9/fARQs4qFzmF3Y+Ep8rX4S53hM6tK+jrEWMVD7orcGfeN6dWJVtbw==" saltValue="ouuiscan9WqR20cKyosE/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215</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9" t="s">
        <v>217</v>
      </c>
      <c r="C12" s="110"/>
      <c r="D12" s="111"/>
      <c r="E12" s="1"/>
    </row>
    <row r="13" spans="1:5" ht="26.25" x14ac:dyDescent="0.25">
      <c r="A13" s="1"/>
      <c r="B13" s="79" t="s">
        <v>216</v>
      </c>
      <c r="C13" s="7">
        <v>56447</v>
      </c>
      <c r="D13" s="8" t="s">
        <v>3</v>
      </c>
      <c r="E13" s="1"/>
    </row>
    <row r="14" spans="1:5" ht="14.25" customHeight="1" x14ac:dyDescent="0.25">
      <c r="A14" s="1"/>
      <c r="B14" s="65" t="s">
        <v>173</v>
      </c>
      <c r="C14" s="7">
        <v>52636</v>
      </c>
      <c r="D14" s="8" t="s">
        <v>3</v>
      </c>
      <c r="E14" s="1"/>
    </row>
    <row r="15" spans="1:5" ht="14.25" customHeight="1" x14ac:dyDescent="0.25">
      <c r="A15" s="1"/>
      <c r="B15" s="82" t="s">
        <v>48</v>
      </c>
      <c r="C15" s="10">
        <f>C14-C13</f>
        <v>-3811</v>
      </c>
      <c r="D15" s="11" t="s">
        <v>3</v>
      </c>
      <c r="E15" s="1"/>
    </row>
    <row r="16" spans="1:5" ht="14.25" customHeight="1" x14ac:dyDescent="0.25">
      <c r="A16" s="1"/>
      <c r="B16" s="33" t="s">
        <v>174</v>
      </c>
      <c r="C16" s="12">
        <f>C11+C15</f>
        <v>-3811</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bE6Oh1dnxjFrpYzkWfSHe6DYOmtiCs4TuxScXi5LbwBAuqhQjNJFHbbTx77FXH7kvO+9DnSzRELUjcZg270/A==" saltValue="RCLSna7Tix4trGD+t4iSx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UfFv1mA2Pe1HNbiBvJcU/Sswrp22lBXdYIXpkOMigv/wJ2hZDci6jahvQ0qNjbkUBootvZ0AZGwjHVUw7z3CYA==" saltValue="JxlEwpZfePTN6kUCggYBV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229</v>
      </c>
      <c r="C11" s="21">
        <v>35403</v>
      </c>
      <c r="D11" s="14" t="s">
        <v>3</v>
      </c>
      <c r="E11" s="9">
        <v>64608</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35403</v>
      </c>
      <c r="D19" s="13" t="s">
        <v>3</v>
      </c>
      <c r="E19" s="12">
        <f>SUM(E10:E18)</f>
        <v>64608</v>
      </c>
      <c r="F19" s="13" t="s">
        <v>3</v>
      </c>
      <c r="G19" s="1"/>
    </row>
    <row r="20" spans="1:7" x14ac:dyDescent="0.25">
      <c r="A20" s="1"/>
      <c r="B20" s="33" t="s">
        <v>175</v>
      </c>
      <c r="C20" s="12">
        <f>C19*(1+'Fane 15. Nøgletal'!C10)</f>
        <v>37750.2189</v>
      </c>
      <c r="D20" s="13" t="s">
        <v>3</v>
      </c>
      <c r="E20" s="12">
        <f>E19*(1+'Fane 15. Nøgletal'!C10)</f>
        <v>68891.510399999999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dkCaI7B9PMf6B/WyXun8kYqO53LR1fTWeXaNLRWU2AyKKuN93RgEoULM3oOJclgbDs6K2XaSCpWOZm9aI+Mg==" saltValue="9eaV3A5v0DqSCrzRmZRg1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t="s">
        <v>230</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qf2Be3VmE8EDWnMlF2WvvldaH0F3Gz+aE0Bq813LtD19CU5+oSGQlsE5amtCmY9D69W/2lXYUU0FAXxpC4h5A==" saltValue="96zLP74f0KRpXTEyIvwyG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J5gPPzBplvaER+hn/2L6dGwwN23sT1hOa3rhCBQUqbnUDJIValVViGZ7ESjQSCDPa0B61iOysK7zsorMtw8MWw==" saltValue="4rNH2dtWcSHhp4rG+gycZ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eyvoiXfITBuJs1Vwls07RUorH/zkFRp3n8BKlj+mBByL2/sXWQWx68BxhE3urfFq39YFX/wYbihmrsR9xQUkyw==" saltValue="GrCI8k1KWL0suePnY2PyI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5fpoV2zVj2ool6GPnK3F0tzzLFwOJPyI83QHoL3dusl8uWGExzsi/fMbiHZ47NucvpEX08G+/4dYMrab0Ge0A==" saltValue="tr6R9UHOlWBMTepMQrf98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22395740.856554981</v>
      </c>
      <c r="D9" s="8" t="s">
        <v>3</v>
      </c>
      <c r="E9" s="1"/>
    </row>
    <row r="10" spans="1:5" ht="17.25" customHeight="1" x14ac:dyDescent="0.25">
      <c r="A10" s="1"/>
      <c r="B10" s="64" t="s">
        <v>35</v>
      </c>
      <c r="C10" s="7">
        <f>'Fane 11.1. Varige tillæg'!C20</f>
        <v>37750.2189</v>
      </c>
      <c r="D10" s="8" t="s">
        <v>3</v>
      </c>
      <c r="E10" s="1"/>
    </row>
    <row r="11" spans="1:5" ht="17.25" customHeight="1" x14ac:dyDescent="0.25">
      <c r="A11" s="1"/>
      <c r="B11" s="64" t="s">
        <v>36</v>
      </c>
      <c r="C11" s="9">
        <f>'Fane 11.1. Varige tillæg'!E20</f>
        <v>68891.510399999999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1816646.2078622323</v>
      </c>
      <c r="D16" s="8" t="s">
        <v>3</v>
      </c>
      <c r="E16" s="1"/>
    </row>
    <row r="17" spans="1:5" ht="17.25" customHeight="1" x14ac:dyDescent="0.25">
      <c r="A17" s="1"/>
      <c r="B17" s="64" t="s">
        <v>10</v>
      </c>
      <c r="C17" s="38">
        <f>-SUM(C9,C10:C16)*'Fane 5. Individuelt eff. krav'!C9</f>
        <v>-251376.95112962861</v>
      </c>
      <c r="D17" s="8" t="s">
        <v>3</v>
      </c>
      <c r="E17" s="1"/>
    </row>
    <row r="18" spans="1:5" ht="17.25" customHeight="1" x14ac:dyDescent="0.25">
      <c r="A18" s="1"/>
      <c r="B18" s="64" t="s">
        <v>22</v>
      </c>
      <c r="C18" s="38">
        <f>-'Fane 4.1. Gen. krav - drift'!C17</f>
        <v>-126523.54527305752</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23941128.297314525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8864907.0762038194</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-236444</v>
      </c>
      <c r="D32" s="11" t="s">
        <v>3</v>
      </c>
      <c r="E32" s="1"/>
    </row>
    <row r="33" spans="1:5" ht="15" customHeight="1" x14ac:dyDescent="0.25">
      <c r="A33" s="1"/>
      <c r="B33" s="33" t="s">
        <v>154</v>
      </c>
      <c r="C33" s="28"/>
      <c r="D33" s="19"/>
      <c r="E33" s="1"/>
    </row>
    <row r="34" spans="1:5" x14ac:dyDescent="0.25">
      <c r="A34" s="1"/>
      <c r="B34" s="31" t="s">
        <v>154</v>
      </c>
      <c r="C34" s="10">
        <f>'Fane 9. Korrektion af ØR2023'!C16</f>
        <v>-3811</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32565780.373518344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oarTyd6gQpcS2SJJ/ubGZVivrv+ZpitGu8FRhezQ0e7+/vv2uFQXsIq68WVxgNQ1Fc7jkxBa/MSqZBpA+uwYpw==" saltValue="40Lav1gR+qJ5QyTyHGRrA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dgfwuJC4GV2aIrNSeHfWg93vpg4lZZCmPGe/AAALlWzuh6ZrIcr5waB+dJIzE4O5qZQwUkGWaar7WUGg3AWlFg==" saltValue="kt8W9rid8rlkikRW+fMPS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23941128.297314525</v>
      </c>
      <c r="D9" s="8" t="s">
        <v>3</v>
      </c>
      <c r="E9" s="1"/>
    </row>
    <row r="10" spans="1:5" ht="15" customHeight="1" x14ac:dyDescent="0.25">
      <c r="A10" s="1"/>
      <c r="B10" s="26" t="s">
        <v>19</v>
      </c>
      <c r="C10" s="7">
        <f>C9*'Fane 15. Nøgletal'!C10</f>
        <v>1587296.806111953</v>
      </c>
      <c r="D10" s="8" t="s">
        <v>3</v>
      </c>
      <c r="E10" s="1"/>
    </row>
    <row r="11" spans="1:5" ht="15" customHeight="1" x14ac:dyDescent="0.25">
      <c r="A11" s="1"/>
      <c r="B11" s="26" t="s">
        <v>10</v>
      </c>
      <c r="C11" s="9">
        <f>-SUM(C9:C10)*'Fane 5. Individuelt eff. krav'!C9</f>
        <v>-263878.04069290427</v>
      </c>
      <c r="D11" s="8" t="s">
        <v>3</v>
      </c>
      <c r="E11" s="1"/>
    </row>
    <row r="12" spans="1:5" ht="15" customHeight="1" x14ac:dyDescent="0.25">
      <c r="A12" s="1"/>
      <c r="B12" s="26" t="s">
        <v>22</v>
      </c>
      <c r="C12" s="9">
        <f>-'Fane 4.1. Gen. krav - drift'!C22</f>
        <v>-132213.81519816804</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25132333.247535408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9175126.3286561333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-197269.01832977496</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34110190.557861768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ZOJjhhWi1Eut3zsP0yjMyrTuX7TBN1wjI5hnmT+RpBwvT90WwDq6tV7o/qFvJciRleaVZDKqPbSXkahBjqGrA==" saltValue="IBrLlOb83Stq8l2NpB3Dp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25132333.247535408</v>
      </c>
      <c r="D9" s="8" t="s">
        <v>3</v>
      </c>
      <c r="E9" s="1"/>
    </row>
    <row r="10" spans="1:5" ht="15" customHeight="1" x14ac:dyDescent="0.25">
      <c r="A10" s="1"/>
      <c r="B10" s="26" t="s">
        <v>19</v>
      </c>
      <c r="C10" s="7">
        <f>SUM(C9:C9)*'Fane 15. Nøgletal'!C10</f>
        <v>1666273.6943115974</v>
      </c>
      <c r="D10" s="8" t="s">
        <v>3</v>
      </c>
      <c r="E10" s="1"/>
    </row>
    <row r="11" spans="1:5" ht="15" customHeight="1" x14ac:dyDescent="0.25">
      <c r="A11" s="1"/>
      <c r="B11" s="26" t="s">
        <v>10</v>
      </c>
      <c r="C11" s="9">
        <f>-SUM(C9:C10)*'Fane 5. Individuelt eff. krav'!C9</f>
        <v>-277007.44814707316</v>
      </c>
      <c r="D11" s="8" t="s">
        <v>3</v>
      </c>
      <c r="E11" s="1"/>
    </row>
    <row r="12" spans="1:5" ht="15" customHeight="1" x14ac:dyDescent="0.25">
      <c r="A12" s="1"/>
      <c r="B12" s="26" t="s">
        <v>22</v>
      </c>
      <c r="C12" s="9">
        <f>-'Fane 4.1. Gen. krav - drift'!C27</f>
        <v>-138159.99932289045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26383439.494377039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9783325.9354460351</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-197269.01832977496</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35969496.411493294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mJrLWRSHW1wssWpCtygRYVvuccQTc2nS701RRBWMDMe5nZW48myPm9rfGZzZEwQYuC/ep/tngJxtPaGR7Y73w==" saltValue="HqPYI2jaDSipGv1MXZg7s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26383439.494377039</v>
      </c>
      <c r="D9" s="8" t="s">
        <v>3</v>
      </c>
      <c r="E9" s="1"/>
    </row>
    <row r="10" spans="1:5" ht="15" customHeight="1" x14ac:dyDescent="0.25">
      <c r="A10" s="1"/>
      <c r="B10" s="26" t="s">
        <v>19</v>
      </c>
      <c r="C10" s="7">
        <f>SUM(C9:C9)*'Fane 15. Nøgletal'!C10</f>
        <v>1749222.0384771978</v>
      </c>
      <c r="D10" s="8" t="s">
        <v>3</v>
      </c>
      <c r="E10" s="1"/>
    </row>
    <row r="11" spans="1:5" ht="15" customHeight="1" x14ac:dyDescent="0.25">
      <c r="A11" s="1"/>
      <c r="B11" s="26" t="s">
        <v>10</v>
      </c>
      <c r="C11" s="9">
        <f>-SUM(C9:C10)*'Fane 5. Individuelt eff. krav'!C9</f>
        <v>-290797.08500191825</v>
      </c>
      <c r="D11" s="8" t="s">
        <v>3</v>
      </c>
      <c r="E11" s="1"/>
    </row>
    <row r="12" spans="1:5" ht="15" customHeight="1" x14ac:dyDescent="0.25">
      <c r="A12" s="1"/>
      <c r="B12" s="26" t="s">
        <v>22</v>
      </c>
      <c r="C12" s="9">
        <f>-'Fane 4.1. Gen. krav - drift'!C32</f>
        <v>-144373.60713243813</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27697490.840719879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10431846.988266107</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38129337.828985989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00g5q7I4WSZsSTDsA+gB+9xGZUHu7XB79AnywgFuwqfTCo+UPXmwDIKFQQxgMQf1BcjTELbcNUWR58P8H7IOQ==" saltValue="iWZreTCSYcLHE2AKm0Mu9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20160105.896312099</v>
      </c>
      <c r="D9" s="8" t="s">
        <v>3</v>
      </c>
      <c r="E9" s="1"/>
    </row>
    <row r="10" spans="1:5" ht="15" customHeight="1" x14ac:dyDescent="0.25">
      <c r="A10" s="1"/>
      <c r="B10" s="64" t="s">
        <v>35</v>
      </c>
      <c r="C10" s="7">
        <v>0</v>
      </c>
      <c r="D10" s="8" t="s">
        <v>3</v>
      </c>
      <c r="E10" s="1"/>
    </row>
    <row r="11" spans="1:5" ht="15" customHeight="1" x14ac:dyDescent="0.25">
      <c r="A11" s="1"/>
      <c r="B11" s="64" t="s">
        <v>36</v>
      </c>
      <c r="C11" s="9">
        <v>888736.43599999999</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1700746.4604508176</v>
      </c>
      <c r="D16" s="8" t="s">
        <v>3</v>
      </c>
      <c r="E16" s="1"/>
    </row>
    <row r="17" spans="1:5" ht="15" customHeight="1" x14ac:dyDescent="0.25">
      <c r="A17" s="1"/>
      <c r="B17" s="64" t="s">
        <v>10</v>
      </c>
      <c r="C17" s="38">
        <v>-235154.22094713477</v>
      </c>
      <c r="D17" s="8" t="s">
        <v>3</v>
      </c>
      <c r="E17" s="1"/>
    </row>
    <row r="18" spans="1:5" ht="15" customHeight="1" x14ac:dyDescent="0.25">
      <c r="A18" s="1"/>
      <c r="B18" s="64" t="s">
        <v>22</v>
      </c>
      <c r="C18" s="38">
        <v>-118693.71526080089</v>
      </c>
      <c r="D18" s="8" t="s">
        <v>3</v>
      </c>
      <c r="E18" s="1"/>
    </row>
    <row r="19" spans="1:5" ht="15" customHeight="1" x14ac:dyDescent="0.25">
      <c r="A19" s="1"/>
      <c r="B19" s="64" t="s">
        <v>23</v>
      </c>
      <c r="C19" s="38">
        <v>0</v>
      </c>
      <c r="D19" s="8" t="s">
        <v>3</v>
      </c>
      <c r="E19" s="43"/>
    </row>
    <row r="20" spans="1:5" ht="15" customHeight="1" x14ac:dyDescent="0.25">
      <c r="A20" s="1"/>
      <c r="B20" s="82" t="s">
        <v>21</v>
      </c>
      <c r="C20" s="10">
        <v>22395740.856554981</v>
      </c>
      <c r="D20" s="11" t="s">
        <v>3</v>
      </c>
      <c r="E20" s="1"/>
    </row>
    <row r="21" spans="1:5" ht="15" customHeight="1" x14ac:dyDescent="0.25">
      <c r="A21" s="1"/>
      <c r="B21" s="33" t="s">
        <v>12</v>
      </c>
      <c r="C21" s="28"/>
      <c r="D21" s="19"/>
      <c r="E21" s="1"/>
    </row>
    <row r="22" spans="1:5" ht="15" customHeight="1" x14ac:dyDescent="0.25">
      <c r="A22" s="1"/>
      <c r="B22" s="31" t="s">
        <v>12</v>
      </c>
      <c r="C22" s="10">
        <v>10922846.585596159</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-236444</v>
      </c>
      <c r="D32" s="11" t="s">
        <v>3</v>
      </c>
      <c r="E32" s="1"/>
    </row>
    <row r="33" spans="1:5" x14ac:dyDescent="0.25">
      <c r="A33" s="1"/>
      <c r="B33" s="33" t="s">
        <v>128</v>
      </c>
      <c r="C33" s="28"/>
      <c r="D33" s="19"/>
      <c r="E33" s="1"/>
    </row>
    <row r="34" spans="1:5" ht="15.4" customHeight="1" x14ac:dyDescent="0.25">
      <c r="A34" s="1"/>
      <c r="B34" s="31" t="s">
        <v>128</v>
      </c>
      <c r="C34" s="10">
        <v>-3781</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33078362.44215114</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dIx6OXcvwmBWdR1kC5140NqKs6KK7YqluU+RHBNEFx+eWrKz9gKJMETc8GR8jghNBKX6BQB2n+E5PJpruRGRZw==" saltValue="LA967GgfDTSj9bTMjfcQD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5934685.7630400443</v>
      </c>
      <c r="D9" s="14" t="s">
        <v>3</v>
      </c>
      <c r="E9" s="1"/>
    </row>
    <row r="10" spans="1:5" x14ac:dyDescent="0.25">
      <c r="A10" s="1"/>
      <c r="B10" s="65" t="s">
        <v>125</v>
      </c>
      <c r="C10" s="83">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118693.71526080089</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6285924.2052398063</v>
      </c>
      <c r="D15" s="14" t="s">
        <v>3</v>
      </c>
      <c r="E15" s="1"/>
    </row>
    <row r="16" spans="1:5" x14ac:dyDescent="0.25">
      <c r="A16" s="1"/>
      <c r="B16" s="65" t="s">
        <v>184</v>
      </c>
      <c r="C16" s="23">
        <f>('Fane 2.1. Økonomisk ramme 2025'!C10+'Fane 2.1. Økonomisk ramme 2025'!C12+'Fane 2.1. Økonomisk ramme 2025'!C14)*(1+'Fane 15. Nøgletal'!C10)</f>
        <v>40253.058413070001</v>
      </c>
      <c r="D16" s="14" t="s">
        <v>3</v>
      </c>
      <c r="E16" s="1"/>
    </row>
    <row r="17" spans="1:5" x14ac:dyDescent="0.25">
      <c r="A17" s="1"/>
      <c r="B17" s="65" t="s">
        <v>132</v>
      </c>
      <c r="C17" s="23">
        <f>C15*'Fane 15. Nøgletal'!C21+C16*'Fane 15. Nøgletal'!C21</f>
        <v>126523.54527305752</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6610690.7599084014</v>
      </c>
      <c r="D21" s="14" t="s">
        <v>3</v>
      </c>
      <c r="E21" s="1"/>
    </row>
    <row r="22" spans="1:5" x14ac:dyDescent="0.25">
      <c r="A22" s="1"/>
      <c r="B22" s="65" t="s">
        <v>196</v>
      </c>
      <c r="C22" s="23">
        <f>C21*'Fane 15. Nøgletal'!C21</f>
        <v>132213.81519816804</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6907999.9661445217</v>
      </c>
      <c r="D26" s="14" t="s">
        <v>3</v>
      </c>
      <c r="E26" s="1"/>
    </row>
    <row r="27" spans="1:5" x14ac:dyDescent="0.25">
      <c r="A27" s="1"/>
      <c r="B27" s="65" t="s">
        <v>194</v>
      </c>
      <c r="C27" s="23">
        <f>C26*'Fane 15. Nøgletal'!C21</f>
        <v>138159.99932289045</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7218680.3566219062</v>
      </c>
      <c r="D31" s="14" t="s">
        <v>3</v>
      </c>
      <c r="E31" s="1"/>
    </row>
    <row r="32" spans="1:5" x14ac:dyDescent="0.25">
      <c r="A32" s="1"/>
      <c r="B32" s="65" t="s">
        <v>195</v>
      </c>
      <c r="C32" s="23">
        <f>C31*'Fane 15. Nøgletal'!C21</f>
        <v>144373.60713243813</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Ul3wv2RetJNNXhELRHw2QX2ct3cVICW6xjzVrQ9wpvfnRu5fbPvVp6cjXxTr3UHI2oVoLXQ7ntZjYY4mpNacw==" saltValue="iNV6dLCfQ0FOrkR0UaQTe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18800351.917642802</v>
      </c>
      <c r="D9" s="14" t="s">
        <v>3</v>
      </c>
      <c r="E9" s="1"/>
    </row>
    <row r="10" spans="1:5" x14ac:dyDescent="0.25">
      <c r="A10" s="1"/>
      <c r="B10" s="65" t="s">
        <v>126</v>
      </c>
      <c r="C10" s="23">
        <f>('Fane 3. Omkostninger i ØR2024'!C11+'Fane 3. Omkostninger i ØR2024'!C13+'Fane 3. Omkostninger i ØR2024'!C15)*(1+'Fane 15. Nøgletal'!C9)</f>
        <v>960546.34002879995</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21357578.836891469</v>
      </c>
      <c r="D15" s="14" t="s">
        <v>3</v>
      </c>
      <c r="E15" s="1"/>
    </row>
    <row r="16" spans="1:5" x14ac:dyDescent="0.25">
      <c r="A16" s="1"/>
      <c r="B16" s="65" t="s">
        <v>185</v>
      </c>
      <c r="C16" s="23">
        <f>('Fane 2.1. Økonomisk ramme 2025'!C11+'Fane 2.1. Økonomisk ramme 2025'!C13+'Fane 2.1. Økonomisk ramme 2025'!C15)*(1+'Fane 15. Nøgletal'!C10)</f>
        <v>73459.017539520006</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22851915.664179765</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24366997.672714885</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25982529.618415885</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NTsj9HVve8x24xUIGoOAqIFmEG4LlEdfvOVfx6bzLTz2NWiEtUNbFmdcssOb489tLRqW3By/aau97GFTNyH9g==" saltValue="VRr8jqDcfMgHL2yeuiOLH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1.0336636107547661E-2</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fmQbnxPemJRFPAwsD2K6G3Q9cPg06spaJpHoOa56gtN8BG0VywjnT6G5RTlgn+NmorIwvDp+Z8KEPLYpBXoK5w==" saltValue="hnAYqeaep3yArcVFn8eNZ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2024-08-20T10:22:57Z</dcterms:modified>
</cp:coreProperties>
</file>