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Sorø Spildevand AS (S088)\ØR2024\"/>
    </mc:Choice>
  </mc:AlternateContent>
  <xr:revisionPtr revIDLastSave="0" documentId="13_ncr:1_{8E0E56DE-805D-4002-A5B6-67B286905F5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32" i="2" l="1"/>
  <c r="C20" i="15"/>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<sst xmlns="http://schemas.openxmlformats.org/spreadsheetml/2006/main" count="654" uniqueCount="290">
  <si>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</si>
  <si>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</si>
  <si>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</si>
  <si>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</si>
  <si>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</si>
  <si>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</si>
  <si>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</si>
  <si>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</si>
  <si>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</si>
  <si>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</si>
  <si>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</si>
  <si>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</si>
  <si>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</si>
  <si>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</si>
  <si>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</si>
  <si>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</si>
  <si>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</si>
  <si>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</si>
  <si>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</si>
  <si>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</si>
  <si>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</si>
  <si>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</si>
  <si>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</si>
  <si>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</si>
  <si>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</si>
  <si>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</si>
  <si>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</si>
  <si>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</si>
  <si>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</si>
  <si>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</si>
  <si>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</si>
  <si>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</si>
  <si>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</si>
  <si>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</si>
  <si>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</si>
  <si>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</si>
  <si>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</si>
  <si>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</si>
  <si>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</si>
  <si>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</si>
  <si>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</si>
  <si>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</si>
  <si>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</si>
  <si>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</si>
  <si>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</si>
  <si>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</si>
  <si>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</si>
  <si>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</si>
  <si>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</si>
  <si>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</si>
  <si>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</si>
  <si>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</si>
  <si>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</si>
  <si>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</si>
  <si>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</si>
  <si>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</si>
  <si>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</si>
  <si>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</si>
  <si>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</si>
  <si>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</si>
  <si>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</si>
  <si>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</si>
  <si>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</si>
  <si>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</si>
  <si>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</si>
  <si>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</si>
  <si>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</si>
  <si>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</si>
  <si>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</si>
  <si>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</si>
  <si>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</si>
  <si>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</si>
  <si>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</si>
  <si>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</si>
  <si>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</si>
  <si>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</si>
  <si>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</si>
  <si>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</si>
  <si>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</si>
  <si>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</si>
  <si>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</si>
  <si>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</si>
  <si>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</si>
  <si>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</si>
  <si>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</si>
  <si>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</si>
  <si>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</si>
  <si>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</si>
  <si>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</si>
  <si>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</si>
  <si>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</si>
  <si>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</si>
  <si>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</si>
  <si>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</si>
  <si>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</si>
  <si>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</si>
  <si>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</si>
  <si>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</si>
  <si>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</si>
  <si>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</si>
  <si>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</si>
  <si>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</si>
  <si>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</si>
  <si>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</si>
  <si>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</si>
  <si>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</si>
  <si>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</si>
  <si>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</si>
  <si>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</si>
  <si>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</si>
  <si>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</si>
  <si>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</si>
  <si>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</si>
  <si>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</si>
  <si>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</si>
  <si>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</si>
  <si>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</si>
  <si>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</si>
  <si>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</si>
  <si>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</si>
  <si>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</si>
  <si>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</si>
  <si>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</si>
  <si>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</si>
  <si>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</si>
  <si>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</si>
  <si>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</si>
  <si>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</si>
  <si>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</si>
  <si>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</si>
  <si>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</si>
  <si>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</si>
  <si>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</si>
  <si>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</si>
  <si>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</si>
  <si>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</si>
  <si>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</si>
  <si>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</si>
  <si>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</si>
  <si>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</si>
  <si>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</si>
  <si>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</si>
  <si>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</si>
  <si>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</si>
  <si>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</si>
  <si>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</si>
  <si>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</si>
  <si>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</si>
  <si>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</si>
  <si>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</si>
  <si>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</si>
  <si>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</si>
  <si>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</si>
  <si>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</si>
  <si>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</si>
  <si>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</si>
  <si>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</si>
  <si>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</si>
  <si>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</si>
  <si>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</si>
  <si>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</si>
  <si>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</si>
  <si>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</si>
  <si>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</si>
  <si>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</si>
  <si>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</si>
  <si>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</si>
  <si>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</si>
  <si>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</si>
  <si>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</si>
  <si>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</si>
  <si>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</si>
  <si>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</si>
  <si>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</si>
  <si>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</si>
  <si>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</si>
  <si>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</si>
  <si>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</si>
  <si>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</si>
  <si>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</si>
  <si>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</si>
  <si>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</si>
  <si>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</si>
  <si>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</si>
  <si>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</si>
  <si>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</si>
  <si>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</si>
  <si>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</si>
  <si>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</si>
  <si>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</si>
  <si>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</si>
  <si>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</si>
  <si>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</si>
  <si>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</si>
  <si>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</si>
  <si>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</si>
  <si>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</si>
  <si>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</si>
  <si>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</si>
  <si>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</si>
  <si>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</si>
  <si>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</si>
  <si>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</si>
  <si>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</si>
  <si>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</si>
  <si>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</si>
  <si>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</si>
  <si>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</si>
  <si>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</si>
  <si>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</si>
  <si>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</si>
  <si>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</si>
  <si>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</si>
  <si>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</si>
  <si>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</si>
  <si>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</si>
  <si>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</si>
  <si>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</si>
  <si>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</si>
  <si>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</si>
  <si>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</si>
  <si>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</si>
  <si>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</si>
  <si>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</si>
  <si>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</si>
  <si>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</si>
  <si>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</si>
  <si>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</si>
  <si>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</si>
  <si>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</si>
  <si>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</si>
  <si>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</si>
  <si>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</si>
  <si>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</si>
  <si>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</si>
  <si>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</si>
  <si>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</si>
  <si>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</si>
  <si>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</si>
  <si>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</si>
  <si>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</si>
  <si>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</si>
  <si>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</si>
  <si>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</si>
  <si>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</si>
  <si>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</si>
  <si>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</si>
  <si>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</si>
  <si>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</si>
  <si>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</si>
  <si>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</si>
  <si>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</si>
  <si>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</si>
  <si>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</si>
  <si>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</si>
  <si>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</si>
  <si>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</si>
  <si>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</si>
  <si>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</si>
  <si>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</si>
  <si>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</si>
  <si>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</si>
  <si>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</si>
  <si>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</si>
  <si>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</si>
  <si>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</si>
  <si>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</si>
  <si>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</si>
  <si>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</si>
  <si>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</si>
  <si>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</si>
  <si>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</si>
  <si>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</si>
  <si>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</si>
  <si>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</si>
  <si>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</si>
  <si>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</si>
  <si>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</si>
  <si>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</si>
  <si>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</si>
  <si>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</si>
  <si>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</si>
  <si>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</si>
  <si>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</si>
  <si>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</si>
  <si>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</si>
  <si>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</si>
  <si>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</si>
  <si>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Udvidelse enkeltejendomme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</si>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</sst>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252</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8" t="s">
        <v>197</v>
      </c>
      <c r="E14" s="99"/>
      <c r="F14" s="99"/>
      <c r="G14" s="100"/>
      <c r="H14" s="5"/>
      <c r="I14" s="1"/>
    </row>
    <row r="15" spans="1:9" x14ac:dyDescent="0.25">
      <c r="A15" s="1"/>
      <c r="B15" s="1"/>
      <c r="C15" s="6" t="s">
        <v>31</v>
      </c>
      <c r="D15" s="98" t="s">
        <v>262</v>
      </c>
      <c r="E15" s="99"/>
      <c r="F15" s="99"/>
      <c r="G15" s="100"/>
      <c r="H15" s="5"/>
      <c r="I15" s="1"/>
    </row>
    <row r="16" spans="1:9" x14ac:dyDescent="0.25">
      <c r="A16" s="1"/>
      <c r="B16" s="1"/>
      <c r="C16" s="6" t="s">
        <v>32</v>
      </c>
      <c r="D16" s="98" t="s">
        <v>263</v>
      </c>
      <c r="E16" s="99"/>
      <c r="F16" s="99"/>
      <c r="G16" s="100"/>
      <c r="H16" s="5"/>
      <c r="I16" s="1"/>
    </row>
    <row r="17" spans="1:9" x14ac:dyDescent="0.25">
      <c r="A17" s="1"/>
      <c r="B17" s="1"/>
      <c r="C17" s="6" t="s">
        <v>101</v>
      </c>
      <c r="D17" s="98" t="s">
        <v>198</v>
      </c>
      <c r="E17" s="99"/>
      <c r="F17" s="99"/>
      <c r="G17" s="100"/>
      <c r="H17" s="5"/>
      <c r="I17" s="1"/>
    </row>
    <row r="18" spans="1:9" x14ac:dyDescent="0.25">
      <c r="A18" s="1"/>
      <c r="B18" s="1"/>
      <c r="C18" s="6" t="s">
        <v>88</v>
      </c>
      <c r="D18" s="95" t="s">
        <v>79</v>
      </c>
      <c r="E18" s="96"/>
      <c r="F18" s="96"/>
      <c r="G18" s="97"/>
      <c r="H18" s="5"/>
      <c r="I18" s="1"/>
    </row>
    <row r="19" spans="1:9" x14ac:dyDescent="0.25">
      <c r="A19" s="1"/>
      <c r="B19" s="1"/>
      <c r="C19" s="6" t="s">
        <v>89</v>
      </c>
      <c r="D19" s="95" t="s">
        <v>80</v>
      </c>
      <c r="E19" s="96"/>
      <c r="F19" s="96"/>
      <c r="G19" s="97"/>
      <c r="H19" s="5"/>
      <c r="I19" s="1"/>
    </row>
    <row r="20" spans="1:9" x14ac:dyDescent="0.25">
      <c r="A20" s="1"/>
      <c r="B20" s="1"/>
      <c r="C20" s="6" t="s">
        <v>7</v>
      </c>
      <c r="D20" s="95" t="s">
        <v>10</v>
      </c>
      <c r="E20" s="96"/>
      <c r="F20" s="96"/>
      <c r="G20" s="97"/>
      <c r="H20" s="5"/>
      <c r="I20" s="1"/>
    </row>
    <row r="21" spans="1:9" x14ac:dyDescent="0.25">
      <c r="A21" s="1"/>
      <c r="B21" s="1"/>
      <c r="C21" s="6" t="s">
        <v>90</v>
      </c>
      <c r="D21" s="102" t="s">
        <v>12</v>
      </c>
      <c r="E21" s="103"/>
      <c r="F21" s="103"/>
      <c r="G21" s="104"/>
      <c r="H21" s="5"/>
      <c r="I21" s="1"/>
    </row>
    <row r="22" spans="1:9" x14ac:dyDescent="0.25">
      <c r="A22" s="1"/>
      <c r="B22" s="1"/>
      <c r="C22" s="6" t="s">
        <v>71</v>
      </c>
      <c r="D22" s="89" t="s">
        <v>199</v>
      </c>
      <c r="E22" s="90"/>
      <c r="F22" s="90"/>
      <c r="G22" s="91"/>
      <c r="H22" s="5"/>
      <c r="I22" s="1"/>
    </row>
    <row r="23" spans="1:9" x14ac:dyDescent="0.25">
      <c r="A23" s="1"/>
      <c r="B23" s="1"/>
      <c r="C23" s="6" t="s">
        <v>8</v>
      </c>
      <c r="D23" s="89" t="s">
        <v>181</v>
      </c>
      <c r="E23" s="90"/>
      <c r="F23" s="90"/>
      <c r="G23" s="91"/>
      <c r="H23" s="5"/>
      <c r="I23" s="1"/>
    </row>
    <row r="24" spans="1:9" x14ac:dyDescent="0.25">
      <c r="A24" s="1"/>
      <c r="B24" s="1"/>
      <c r="C24" s="6" t="s">
        <v>9</v>
      </c>
      <c r="D24" s="89" t="s">
        <v>200</v>
      </c>
      <c r="E24" s="90"/>
      <c r="F24" s="90"/>
      <c r="G24" s="91"/>
      <c r="H24" s="5"/>
      <c r="I24" s="1"/>
    </row>
    <row r="25" spans="1:9" x14ac:dyDescent="0.25">
      <c r="A25" s="1"/>
      <c r="B25" s="1"/>
      <c r="C25" s="6" t="s">
        <v>166</v>
      </c>
      <c r="D25" s="89" t="s">
        <v>160</v>
      </c>
      <c r="E25" s="90"/>
      <c r="F25" s="90"/>
      <c r="G25" s="91"/>
      <c r="H25" s="1"/>
      <c r="I25" s="1"/>
    </row>
    <row r="26" spans="1:9" x14ac:dyDescent="0.25">
      <c r="A26" s="1"/>
      <c r="B26" s="1"/>
      <c r="C26" s="6" t="s">
        <v>167</v>
      </c>
      <c r="D26" s="89" t="s">
        <v>72</v>
      </c>
      <c r="E26" s="90"/>
      <c r="F26" s="90"/>
      <c r="G26" s="91"/>
      <c r="H26" s="1"/>
      <c r="I26" s="1"/>
    </row>
    <row r="27" spans="1:9" x14ac:dyDescent="0.25">
      <c r="A27" s="1"/>
      <c r="B27" s="1"/>
      <c r="C27" s="6" t="s">
        <v>168</v>
      </c>
      <c r="D27" s="89" t="s">
        <v>73</v>
      </c>
      <c r="E27" s="90"/>
      <c r="F27" s="90"/>
      <c r="G27" s="91"/>
      <c r="H27" s="1"/>
      <c r="I27" s="1"/>
    </row>
    <row r="28" spans="1:9" x14ac:dyDescent="0.25">
      <c r="A28" s="1"/>
      <c r="B28" s="1"/>
      <c r="C28" s="6" t="s">
        <v>15</v>
      </c>
      <c r="D28" s="89" t="s">
        <v>74</v>
      </c>
      <c r="E28" s="90"/>
      <c r="F28" s="90"/>
      <c r="G28" s="91"/>
      <c r="H28" s="1"/>
      <c r="I28" s="1"/>
    </row>
    <row r="29" spans="1:9" x14ac:dyDescent="0.25">
      <c r="A29" s="1"/>
      <c r="B29" s="1"/>
      <c r="C29" s="6" t="s">
        <v>34</v>
      </c>
      <c r="D29" s="89" t="s">
        <v>114</v>
      </c>
      <c r="E29" s="90"/>
      <c r="F29" s="90"/>
      <c r="G29" s="91"/>
      <c r="H29" s="1"/>
      <c r="I29" s="1"/>
    </row>
    <row r="30" spans="1:9" x14ac:dyDescent="0.25">
      <c r="A30" s="1"/>
      <c r="B30" s="1"/>
      <c r="C30" s="6" t="s">
        <v>35</v>
      </c>
      <c r="D30" s="89" t="s">
        <v>33</v>
      </c>
      <c r="E30" s="90"/>
      <c r="F30" s="90"/>
      <c r="G30" s="91"/>
      <c r="H30" s="1"/>
      <c r="I30" s="1"/>
    </row>
    <row r="31" spans="1:9" x14ac:dyDescent="0.25">
      <c r="A31" s="1"/>
      <c r="B31" s="1"/>
      <c r="C31" s="6" t="s">
        <v>169</v>
      </c>
      <c r="D31" s="92" t="s">
        <v>87</v>
      </c>
      <c r="E31" s="93"/>
      <c r="F31" s="93"/>
      <c r="G31" s="9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fki2dB9S5kT9bxtxZqZDSpCemEVlSS1GWLtttQKaklZEd975GBp6AyfJN8ngU2kEQQ7TLZG2jQ2lnm0SNAVkdw==" saltValue="eBH0XWrTNyiQGYby15Sho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224</v>
      </c>
      <c r="C8" s="115"/>
      <c r="D8" s="116"/>
      <c r="E8" s="1"/>
      <c r="F8" s="1"/>
    </row>
    <row r="9" spans="1:6" ht="15" customHeight="1" x14ac:dyDescent="0.25">
      <c r="A9" s="1"/>
      <c r="B9" s="27" t="s">
        <v>29</v>
      </c>
      <c r="C9" s="50" t="s">
        <v>225</v>
      </c>
      <c r="D9" s="11"/>
      <c r="E9" s="1"/>
      <c r="F9" s="1"/>
    </row>
    <row r="10" spans="1:6" ht="15" customHeight="1" x14ac:dyDescent="0.25">
      <c r="A10" s="1"/>
      <c r="B10" s="81" t="s">
        <v>272</v>
      </c>
      <c r="C10" s="9">
        <v>433718</v>
      </c>
      <c r="D10" s="14" t="s">
        <v>3</v>
      </c>
      <c r="E10" s="1"/>
      <c r="F10" s="1"/>
    </row>
    <row r="11" spans="1:6" ht="15" customHeight="1" x14ac:dyDescent="0.25">
      <c r="A11" s="1"/>
      <c r="B11" s="81" t="s">
        <v>273</v>
      </c>
      <c r="C11" s="9">
        <v>72992</v>
      </c>
      <c r="D11" s="14" t="s">
        <v>3</v>
      </c>
      <c r="E11" s="1"/>
      <c r="F11" s="1"/>
    </row>
    <row r="12" spans="1:6" ht="26.25" x14ac:dyDescent="0.25">
      <c r="A12" s="1"/>
      <c r="B12" s="29" t="s">
        <v>274</v>
      </c>
      <c r="C12" s="9">
        <v>88517</v>
      </c>
      <c r="D12" s="14" t="s">
        <v>3</v>
      </c>
      <c r="E12" s="1"/>
      <c r="F12" s="1"/>
    </row>
    <row r="13" spans="1:6" x14ac:dyDescent="0.25">
      <c r="A13" s="1"/>
      <c r="B13" s="81" t="s">
        <v>275</v>
      </c>
      <c r="C13" s="9">
        <v>149752</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744979</v>
      </c>
      <c r="D20" s="13" t="s">
        <v>3</v>
      </c>
      <c r="E20" s="1"/>
      <c r="F20" s="1"/>
    </row>
    <row r="21" spans="1:6" x14ac:dyDescent="0.25">
      <c r="A21" s="1"/>
      <c r="B21" s="33" t="s">
        <v>227</v>
      </c>
      <c r="C21" s="12">
        <f>C20*(1+'Fane 15. Nøgletal'!C16)^2</f>
        <v>870231.30609855999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4" t="s">
        <v>99</v>
      </c>
      <c r="C24" s="115"/>
      <c r="D24" s="116"/>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4"/>
      <c r="C29" s="115"/>
      <c r="D29" s="116"/>
      <c r="E29" s="1"/>
      <c r="F29" s="1"/>
    </row>
    <row r="30" spans="1:6" x14ac:dyDescent="0.25">
      <c r="A30" s="1"/>
      <c r="B30" s="1"/>
      <c r="C30" s="1"/>
      <c r="D30" s="1"/>
      <c r="E30" s="1"/>
      <c r="F30" s="1"/>
    </row>
    <row r="31" spans="1:6" x14ac:dyDescent="0.25">
      <c r="A31" s="1"/>
      <c r="B31" s="1"/>
      <c r="C31" s="1"/>
      <c r="D31" s="1"/>
      <c r="E31" s="1"/>
      <c r="F31" s="1"/>
    </row>
    <row r="32" spans="1:6" x14ac:dyDescent="0.25">
      <c r="A32" s="1"/>
      <c r="B32" s="114" t="s">
        <v>81</v>
      </c>
      <c r="C32" s="115"/>
      <c r="D32" s="116"/>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4"/>
      <c r="C37" s="115"/>
      <c r="D37" s="116"/>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19QTcVMGD3V3Z3NsvJTJPNvZJOb4SqO2dms9kp+UoBRzePDoawvvvlfurNpSXWPUFmTh277FJ/E5sn6UGHa++Q==" saltValue="HvGlKBFBJnIR+OTVNFQVy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72DB-A11D-4CFB-9DC5-A9A8BE5F15F0}">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276</v>
      </c>
      <c r="C9" s="118"/>
      <c r="D9" s="119"/>
      <c r="E9" s="9">
        <v>3575687</v>
      </c>
      <c r="F9" s="14" t="s">
        <v>3</v>
      </c>
      <c r="G9" s="1"/>
    </row>
    <row r="10" spans="1:7" ht="15" customHeight="1" x14ac:dyDescent="0.25">
      <c r="A10" s="1"/>
      <c r="B10" s="117" t="s">
        <v>143</v>
      </c>
      <c r="C10" s="118"/>
      <c r="D10" s="119"/>
      <c r="E10" s="9">
        <v>-2390879</v>
      </c>
      <c r="F10" s="14" t="s">
        <v>3</v>
      </c>
      <c r="G10" s="1"/>
    </row>
    <row r="11" spans="1:7" ht="15" customHeight="1" x14ac:dyDescent="0.25">
      <c r="A11" s="1"/>
      <c r="B11" s="117" t="s">
        <v>277</v>
      </c>
      <c r="C11" s="118"/>
      <c r="D11" s="119"/>
      <c r="E11" s="9">
        <v>249899</v>
      </c>
      <c r="F11" s="14" t="s">
        <v>3</v>
      </c>
      <c r="G11" s="1"/>
    </row>
    <row r="12" spans="1:7" x14ac:dyDescent="0.25">
      <c r="A12" s="1"/>
      <c r="B12" s="33"/>
      <c r="C12" s="28"/>
      <c r="D12" s="28"/>
      <c r="E12" s="28"/>
      <c r="F12" s="19"/>
      <c r="G12" s="1"/>
    </row>
    <row r="13" spans="1:7" ht="42" customHeight="1" x14ac:dyDescent="0.25">
      <c r="A13" s="1"/>
      <c r="B13" s="126" t="s">
        <v>278</v>
      </c>
      <c r="C13" s="127"/>
      <c r="D13" s="127"/>
      <c r="E13" s="127"/>
      <c r="F13" s="128"/>
      <c r="G13" s="1"/>
    </row>
    <row r="14" spans="1:7" ht="15" customHeight="1" x14ac:dyDescent="0.25">
      <c r="A14" s="1"/>
      <c r="B14" s="1"/>
      <c r="C14" s="1"/>
      <c r="D14" s="1"/>
      <c r="E14" s="1"/>
      <c r="F14" s="1"/>
      <c r="G14" s="1"/>
    </row>
    <row r="15" spans="1:7" x14ac:dyDescent="0.25">
      <c r="A15" s="1"/>
      <c r="B15" s="75" t="s">
        <v>279</v>
      </c>
      <c r="C15" s="76"/>
      <c r="D15" s="76"/>
      <c r="E15" s="76"/>
      <c r="F15" s="77"/>
      <c r="G15" s="1"/>
    </row>
    <row r="16" spans="1:7" x14ac:dyDescent="0.25">
      <c r="A16" s="1"/>
      <c r="B16" s="78" t="s">
        <v>280</v>
      </c>
      <c r="C16" s="79"/>
      <c r="D16" s="80"/>
      <c r="E16" s="9">
        <f>IF(E11&lt;0,E11,0)</f>
        <v>0</v>
      </c>
      <c r="F16" s="14" t="s">
        <v>3</v>
      </c>
      <c r="G16" s="1"/>
    </row>
    <row r="17" spans="1:7" x14ac:dyDescent="0.25">
      <c r="A17" s="1"/>
      <c r="B17" s="78" t="s">
        <v>281</v>
      </c>
      <c r="C17" s="79"/>
      <c r="D17" s="80"/>
      <c r="E17" s="9">
        <f>IF(SUM(E10)&gt;0,SUM(E10),0)</f>
        <v>0</v>
      </c>
      <c r="F17" s="14" t="s">
        <v>3</v>
      </c>
      <c r="G17" s="1"/>
    </row>
    <row r="18" spans="1:7" x14ac:dyDescent="0.25">
      <c r="A18" s="1"/>
      <c r="B18" s="82" t="s">
        <v>282</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283</v>
      </c>
      <c r="C21" s="76"/>
      <c r="D21" s="76"/>
      <c r="E21" s="76"/>
      <c r="F21" s="77"/>
      <c r="G21" s="1"/>
    </row>
    <row r="22" spans="1:7" x14ac:dyDescent="0.25">
      <c r="A22" s="1"/>
      <c r="B22" s="78" t="s">
        <v>284</v>
      </c>
      <c r="C22" s="79"/>
      <c r="D22" s="80"/>
      <c r="E22" s="9">
        <v>48909127</v>
      </c>
      <c r="F22" s="14" t="s">
        <v>3</v>
      </c>
      <c r="G22" s="1"/>
    </row>
    <row r="23" spans="1:7" x14ac:dyDescent="0.25">
      <c r="A23" s="1"/>
      <c r="B23" s="78" t="s">
        <v>285</v>
      </c>
      <c r="C23" s="79"/>
      <c r="D23" s="80"/>
      <c r="E23" s="9">
        <v>47353254</v>
      </c>
      <c r="F23" s="14" t="s">
        <v>3</v>
      </c>
      <c r="G23" s="1"/>
    </row>
    <row r="24" spans="1:7" x14ac:dyDescent="0.25">
      <c r="A24" s="1"/>
      <c r="B24" s="78" t="s">
        <v>30</v>
      </c>
      <c r="C24" s="79"/>
      <c r="D24" s="80"/>
      <c r="E24" s="9">
        <v>0</v>
      </c>
      <c r="F24" s="14" t="s">
        <v>3</v>
      </c>
      <c r="G24" s="1"/>
    </row>
    <row r="25" spans="1:7" x14ac:dyDescent="0.25">
      <c r="A25" s="1"/>
      <c r="B25" s="82" t="s">
        <v>286</v>
      </c>
      <c r="C25" s="83"/>
      <c r="D25" s="84"/>
      <c r="E25" s="62">
        <f>E22-E23-E24</f>
        <v>1555873</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287</v>
      </c>
      <c r="C28" s="115"/>
      <c r="D28" s="115"/>
      <c r="E28" s="115"/>
      <c r="F28" s="116"/>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ZnmH/u9/p5D7P0R9XwSOBtrKU1PPjqFZWlFkKmCX1Keg0rb6ClHx8F4DoW932LPQEk/D+BjTd3FORm7tnb0sFA==" saltValue="0McbEquKnJ8HaQhwvLVpG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dd5BnqCv+4dguUy/KCg6nXeOVVJpKRPjy5GYkWPYzYxXzX5Id8q8ub/pJQm3OdQqAIa34b94w+n62I+0udfjw==" saltValue="p/sjfY1mUs3WepqQ6iZ8w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228</v>
      </c>
      <c r="C9" s="115"/>
      <c r="D9" s="115"/>
      <c r="E9" s="115"/>
      <c r="F9" s="116"/>
      <c r="G9" s="1"/>
    </row>
    <row r="10" spans="1:7" x14ac:dyDescent="0.25">
      <c r="A10" s="1"/>
      <c r="B10" s="126" t="s">
        <v>82</v>
      </c>
      <c r="C10" s="127"/>
      <c r="D10" s="128"/>
      <c r="E10" s="7">
        <v>0</v>
      </c>
      <c r="F10" s="8" t="s">
        <v>3</v>
      </c>
      <c r="G10" s="1"/>
    </row>
    <row r="11" spans="1:7" x14ac:dyDescent="0.25">
      <c r="A11" s="1"/>
      <c r="B11" s="117" t="s">
        <v>229</v>
      </c>
      <c r="C11" s="118"/>
      <c r="D11" s="119"/>
      <c r="E11" s="7">
        <v>0</v>
      </c>
      <c r="F11" s="8" t="s">
        <v>3</v>
      </c>
      <c r="G11" s="1"/>
    </row>
    <row r="12" spans="1:7" x14ac:dyDescent="0.25">
      <c r="A12" s="1"/>
      <c r="B12" s="135" t="s">
        <v>83</v>
      </c>
      <c r="C12" s="136"/>
      <c r="D12" s="137"/>
      <c r="E12" s="10">
        <f>E11-E10</f>
        <v>0</v>
      </c>
      <c r="F12" s="11" t="s">
        <v>3</v>
      </c>
      <c r="G12" s="1"/>
    </row>
    <row r="13" spans="1:7" x14ac:dyDescent="0.25">
      <c r="A13" s="1"/>
      <c r="B13" s="114" t="s">
        <v>78</v>
      </c>
      <c r="C13" s="115"/>
      <c r="D13" s="115"/>
      <c r="E13" s="115"/>
      <c r="F13" s="116"/>
      <c r="G13" s="1"/>
    </row>
    <row r="14" spans="1:7" x14ac:dyDescent="0.25">
      <c r="A14" s="1"/>
      <c r="B14" s="117" t="s">
        <v>230</v>
      </c>
      <c r="C14" s="118"/>
      <c r="D14" s="119"/>
      <c r="E14" s="7">
        <v>0</v>
      </c>
      <c r="F14" s="8" t="s">
        <v>3</v>
      </c>
      <c r="G14" s="1"/>
    </row>
    <row r="15" spans="1:7" x14ac:dyDescent="0.25">
      <c r="A15" s="1"/>
      <c r="B15" s="126" t="s">
        <v>231</v>
      </c>
      <c r="C15" s="127"/>
      <c r="D15" s="128"/>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mzGytCA+wkxTWmWEfTsHYU9imHXqxWuqe6auDuIgUr0rzWw4ajka3W76+cCPNTFmFRLjzLLhZXt/XNdwcVxaw==" saltValue="W3tBN9cl9f4ASdfwHCuRX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jV7u+mM1L4L88cJt2r4jytXZSfykl8PVoIJwq9yM60v3GVJjJp24seVBV9Nc5yxmcfIfW1fvXP/0zIo3/yBTIQ==" saltValue="HkGLIgIHyR5DFiDa3kj5F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2772.23</v>
      </c>
      <c r="D11" s="14" t="s">
        <v>3</v>
      </c>
      <c r="E11" s="9">
        <v>2094.15</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2772.23</v>
      </c>
      <c r="D19" s="13" t="s">
        <v>3</v>
      </c>
      <c r="E19" s="12">
        <f>SUM(E10:E18)</f>
        <v>2094.15</v>
      </c>
      <c r="F19" s="13" t="s">
        <v>3</v>
      </c>
      <c r="G19" s="1"/>
    </row>
    <row r="20" spans="1:7" x14ac:dyDescent="0.25">
      <c r="A20" s="1"/>
      <c r="B20" s="33" t="s">
        <v>233</v>
      </c>
      <c r="C20" s="12">
        <f>C19*(1+'Fane 15. Nøgletal'!C16)</f>
        <v>2996.2261840000001</v>
      </c>
      <c r="D20" s="13" t="s">
        <v>3</v>
      </c>
      <c r="E20" s="12">
        <f>E19*(1+'Fane 15. Nøgletal'!C16)</f>
        <v>2263.3573200000001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n9bOVODDAQgBoR2LuT/E1VZI9HC29H/7YOWQCuP6i4O3t1pOKJ+Qx1CsfTqTl0JX55wowW1LZ3TXGiXnzH8pA==" saltValue="/l1a+mJ7Lan111aGzCkWw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260</v>
      </c>
      <c r="C8" s="115"/>
      <c r="D8" s="115"/>
      <c r="E8" s="115"/>
      <c r="F8" s="116"/>
      <c r="G8" s="1"/>
    </row>
    <row r="9" spans="1:7" x14ac:dyDescent="0.25">
      <c r="A9" s="1"/>
      <c r="B9" s="86" t="s">
        <v>17</v>
      </c>
      <c r="C9" s="86" t="s">
        <v>11</v>
      </c>
      <c r="D9" s="87"/>
      <c r="E9" s="86" t="s">
        <v>28</v>
      </c>
      <c r="F9" s="32"/>
      <c r="G9" s="1"/>
    </row>
    <row r="10" spans="1:7" x14ac:dyDescent="0.25">
      <c r="A10" s="1"/>
      <c r="B10" s="24" t="s">
        <v>289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1Hsr30VM+L/IdXovmevirX9Ol6UuA6xO1ndC/ju5c4g3UZhqn2RCjNrO9QNWqGU2t+nElQ7VKrLkM4d903mzOg==" saltValue="iniZSKnAjDZxpu5OvUtoj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4" t="s">
        <v>111</v>
      </c>
      <c r="C13" s="115"/>
      <c r="D13" s="116"/>
      <c r="E13" s="12">
        <f>SUM(E10:E12)*(1+'Fane 15. Nøgletal'!C16)^2</f>
        <v>0</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4" t="s">
        <v>125</v>
      </c>
      <c r="C19" s="115"/>
      <c r="D19" s="116"/>
      <c r="E19" s="12">
        <f>SUM(E16:E18)*(1+'Fane 15. Nøgletal'!C16)^3</f>
        <v>0</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4" t="s">
        <v>146</v>
      </c>
      <c r="C25" s="115"/>
      <c r="D25" s="116"/>
      <c r="E25" s="12">
        <f>SUM(E22:E24)*(1+'Fane 15. Nøgletal'!C16)^4</f>
        <v>0</v>
      </c>
      <c r="F25" s="13" t="s">
        <v>3</v>
      </c>
      <c r="G25" s="1"/>
    </row>
    <row r="26" spans="1:7" x14ac:dyDescent="0.25">
      <c r="A26" s="1"/>
      <c r="B26" s="1"/>
      <c r="C26" s="1"/>
      <c r="D26" s="1"/>
      <c r="E26" s="1"/>
      <c r="F26" s="1"/>
      <c r="G26" s="1"/>
    </row>
    <row r="27" spans="1:7" ht="15" customHeight="1" x14ac:dyDescent="0.25">
      <c r="A27" s="1"/>
      <c r="B27" s="114" t="s">
        <v>237</v>
      </c>
      <c r="C27" s="115"/>
      <c r="D27" s="115"/>
      <c r="E27" s="115"/>
      <c r="F27" s="116"/>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4" t="s">
        <v>238</v>
      </c>
      <c r="C31" s="115"/>
      <c r="D31" s="116"/>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RRJRUrwxgJZe/z/0hO4ojLiZfffZXtDyf8/NZDAxzwhPxZ4YHXDM6foVSX1QmpuRBPDeC6M1zqBMuSn3Vo48Q==" saltValue="DaGXEiOMtTvE8jFhOpeit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spphdjujmdInbS3K/uNmz7Fy2P0oOEZg3cIFmkncctkiarlNcQA+KnuIYjKqa4NQnIfpCdsY8r3x6lbOmbrqA==" saltValue="PHdLKRRSD+3XjYQ4GNTOd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240</v>
      </c>
      <c r="C9" s="115"/>
      <c r="D9" s="115"/>
      <c r="E9" s="115"/>
      <c r="F9" s="116"/>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dbVbGZ9+QUp/5xllJ95aOq31aN96QDreBqH+u9XUVAd0lIWzFFMJS1BtNulVQcKFrnYVq4w77IFWjlvEldhzQ==" saltValue="P+gnGk9GXb81rEJzRCex5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46772570.73309353</v>
      </c>
      <c r="D9" s="8" t="s">
        <v>3</v>
      </c>
      <c r="E9" s="1"/>
    </row>
    <row r="10" spans="1:5" ht="17.25" customHeight="1" x14ac:dyDescent="0.25">
      <c r="A10" s="1"/>
      <c r="B10" s="88" t="s">
        <v>36</v>
      </c>
      <c r="C10" s="7">
        <f>'Fane 11.1. Varige tillæg'!C20</f>
        <v>2996.2261840000001</v>
      </c>
      <c r="D10" s="8" t="s">
        <v>3</v>
      </c>
      <c r="E10" s="1"/>
    </row>
    <row r="11" spans="1:5" ht="17.25" customHeight="1" x14ac:dyDescent="0.25">
      <c r="A11" s="1"/>
      <c r="B11" s="88" t="s">
        <v>37</v>
      </c>
      <c r="C11" s="9">
        <f>'Fane 11.1. Varige tillæg'!E20</f>
        <v>2263.3573200000001</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3779648.6895810803</v>
      </c>
      <c r="D16" s="8" t="s">
        <v>3</v>
      </c>
      <c r="E16" s="1"/>
    </row>
    <row r="17" spans="1:5" ht="17.25" customHeight="1" x14ac:dyDescent="0.25">
      <c r="A17" s="1"/>
      <c r="B17" s="88" t="s">
        <v>10</v>
      </c>
      <c r="C17" s="41">
        <f>-SUM(C9,C10:C16)*'Fane 5. Individuelt eff. krav'!G9</f>
        <v>-1011149.5801235724</v>
      </c>
      <c r="D17" s="8" t="s">
        <v>3</v>
      </c>
      <c r="E17" s="1"/>
    </row>
    <row r="18" spans="1:5" ht="17.25" customHeight="1" x14ac:dyDescent="0.25">
      <c r="A18" s="1"/>
      <c r="B18" s="88" t="s">
        <v>23</v>
      </c>
      <c r="C18" s="41">
        <f>-'Fane 4.1. Gen. krav - drift'!G54</f>
        <v>-366363.58889049018</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49179965.837164551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870231.30609855999</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50050197.143263109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3p8c8piQUwm1fsCF5MrLVxGJ5ZZv7pbUQcJcZa+nlg9x1lwgiphxRAAZjzN5mOMAeg3MawhtB967EtAEoaDAwg==" saltValue="5z8+DxNjO5tp7zk11qoHZ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b0ltpuyJobKOoxgys5czmFn1qYE7M/9shGdkNKRZ3L9NnL43p1W+nL4x7mq7JAuFRPnIeEKokJN3Hiu/wk1j6w==" saltValue="LJotTKDgBh+YMmyH0HIVj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49179965.837164551</v>
      </c>
      <c r="D9" s="8" t="s">
        <v>3</v>
      </c>
      <c r="E9" s="1"/>
    </row>
    <row r="10" spans="1:5" ht="15" customHeight="1" x14ac:dyDescent="0.25">
      <c r="A10" s="1"/>
      <c r="B10" s="26" t="s">
        <v>19</v>
      </c>
      <c r="C10" s="7">
        <f>SUM(C9:C9)*'Fane 15. Nøgletal'!C16</f>
        <v>3973741.2396428958</v>
      </c>
      <c r="D10" s="8" t="s">
        <v>3</v>
      </c>
      <c r="E10" s="1"/>
    </row>
    <row r="11" spans="1:5" ht="15" customHeight="1" x14ac:dyDescent="0.25">
      <c r="A11" s="1"/>
      <c r="B11" s="26" t="s">
        <v>10</v>
      </c>
      <c r="C11" s="9">
        <f>-SUM(C9:C10)*'Fane 5. Individuelt eff. krav'!G9</f>
        <v>-1063074.141536149</v>
      </c>
      <c r="D11" s="8" t="s">
        <v>3</v>
      </c>
      <c r="E11" s="1"/>
    </row>
    <row r="12" spans="1:5" ht="15" customHeight="1" x14ac:dyDescent="0.25">
      <c r="A12" s="1"/>
      <c r="B12" s="26" t="s">
        <v>23</v>
      </c>
      <c r="C12" s="9">
        <f>-'Fane 4.1. Gen. krav - drift'!G59</f>
        <v>-388046.45153538499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51702586.483735919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940545.99563132366</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52643132.479367241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1dCTS5uUf7EVBuPkFdOPMsNCn7+miq+IIPy1AFPFwmmYKJWIq3IUVwVFEWf25P8mwWyUxEtlewUSJRHZl/fog==" saltValue="+NjHVCr62zaLbb7w0MZIH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51702586.483735919</v>
      </c>
      <c r="D9" s="8" t="s">
        <v>3</v>
      </c>
      <c r="E9" s="1"/>
    </row>
    <row r="10" spans="1:5" ht="15" customHeight="1" x14ac:dyDescent="0.25">
      <c r="A10" s="1"/>
      <c r="B10" s="26" t="s">
        <v>19</v>
      </c>
      <c r="C10" s="7">
        <f>SUM(C9:C9)*'Fane 15. Nøgletal'!C16</f>
        <v>4177568.9878858621</v>
      </c>
      <c r="D10" s="8" t="s">
        <v>3</v>
      </c>
      <c r="E10" s="1"/>
    </row>
    <row r="11" spans="1:5" ht="15" customHeight="1" x14ac:dyDescent="0.25">
      <c r="A11" s="1"/>
      <c r="B11" s="26" t="s">
        <v>10</v>
      </c>
      <c r="C11" s="9">
        <f>-SUM(C9:C10)*'Fane 5. Individuelt eff. krav'!G9</f>
        <v>-1117603.1094324356</v>
      </c>
      <c r="D11" s="8" t="s">
        <v>3</v>
      </c>
      <c r="E11" s="1"/>
    </row>
    <row r="12" spans="1:5" ht="15" customHeight="1" x14ac:dyDescent="0.25">
      <c r="A12" s="1"/>
      <c r="B12" s="26" t="s">
        <v>23</v>
      </c>
      <c r="C12" s="9">
        <f>-'Fane 4.1. Gen. krav - drift'!G64</f>
        <v>-411012.59272305522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54351539.769466288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1016542.1120783346</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55368081.88154462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TC/ka6y2rOWogk0+tKlwRw2SvQn9TBWFb6zwtNGdaOFYhhkz39fjvHmv9HU0nlFUEsAskVdlVLgyTO1omoH8A==" saltValue="Ndqt/u8wxbb6jdT7AcPO0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54351539.769466288</v>
      </c>
      <c r="D9" s="8" t="s">
        <v>3</v>
      </c>
      <c r="E9" s="1"/>
      <c r="F9" s="1"/>
    </row>
    <row r="10" spans="1:6" ht="15" customHeight="1" x14ac:dyDescent="0.25">
      <c r="A10" s="1"/>
      <c r="B10" s="26" t="s">
        <v>19</v>
      </c>
      <c r="C10" s="7">
        <f>SUM(C9:C9)*'Fane 15. Nøgletal'!C16</f>
        <v>4391604.4133728761</v>
      </c>
      <c r="D10" s="8" t="s">
        <v>3</v>
      </c>
      <c r="E10" s="1"/>
      <c r="F10" s="1"/>
    </row>
    <row r="11" spans="1:6" ht="15" customHeight="1" x14ac:dyDescent="0.25">
      <c r="A11" s="1"/>
      <c r="B11" s="26" t="s">
        <v>10</v>
      </c>
      <c r="C11" s="9">
        <f>-SUM(C9:C10)*'Fane 5. Individuelt eff. krav'!G9</f>
        <v>-1174862.8836567833</v>
      </c>
      <c r="D11" s="8" t="s">
        <v>3</v>
      </c>
      <c r="E11" s="1"/>
      <c r="F11" s="1"/>
    </row>
    <row r="12" spans="1:6" ht="15" customHeight="1" x14ac:dyDescent="0.25">
      <c r="A12" s="1"/>
      <c r="B12" s="26" t="s">
        <v>23</v>
      </c>
      <c r="C12" s="9">
        <f>-'Fane 4.1. Gen. krav - drift'!G69</f>
        <v>-435337.96201077651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57132943.337171599</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1098678.714734264</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58231622.051905863</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HBHfjD6gQ0/RSwqtgBCKK9rYU/CQnIzd29Pp5sWoUYZYT8Po5Dwh3ejqeauAjUNixZY9T2QKncWprq3W/yJGg==" saltValue="FiOzDK0iChhc8gHJKxPCo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48413426.126663588</v>
      </c>
      <c r="D9" s="8" t="s">
        <v>3</v>
      </c>
      <c r="E9" s="1"/>
    </row>
    <row r="10" spans="1:5" x14ac:dyDescent="0.25">
      <c r="A10" s="1"/>
      <c r="B10" s="88" t="s">
        <v>36</v>
      </c>
      <c r="C10" s="7">
        <v>27141.004800000002</v>
      </c>
      <c r="D10" s="8" t="s">
        <v>3</v>
      </c>
      <c r="E10" s="1"/>
    </row>
    <row r="11" spans="1:5" x14ac:dyDescent="0.25">
      <c r="A11" s="1"/>
      <c r="B11" s="88" t="s">
        <v>37</v>
      </c>
      <c r="C11" s="9">
        <v>11260.078800000001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161131.38479414984</v>
      </c>
      <c r="D16" s="8" t="s">
        <v>3</v>
      </c>
      <c r="E16" s="1"/>
    </row>
    <row r="17" spans="1:5" x14ac:dyDescent="0.25">
      <c r="A17" s="1"/>
      <c r="B17" s="88" t="s">
        <v>10</v>
      </c>
      <c r="C17" s="41">
        <v>-972259.1719011548</v>
      </c>
      <c r="D17" s="8" t="s">
        <v>3</v>
      </c>
      <c r="E17" s="1"/>
    </row>
    <row r="18" spans="1:5" x14ac:dyDescent="0.25">
      <c r="A18" s="1"/>
      <c r="B18" s="88" t="s">
        <v>23</v>
      </c>
      <c r="C18" s="41">
        <v>-345831.15158961702</v>
      </c>
      <c r="D18" s="8" t="s">
        <v>3</v>
      </c>
      <c r="E18" s="1"/>
    </row>
    <row r="19" spans="1:5" x14ac:dyDescent="0.25">
      <c r="A19" s="1"/>
      <c r="B19" s="88" t="s">
        <v>24</v>
      </c>
      <c r="C19" s="41">
        <v>-522297.53847344086</v>
      </c>
      <c r="D19" s="8" t="s">
        <v>3</v>
      </c>
      <c r="E19" s="47"/>
    </row>
    <row r="20" spans="1:5" x14ac:dyDescent="0.25">
      <c r="A20" s="1"/>
      <c r="B20" s="82" t="s">
        <v>21</v>
      </c>
      <c r="C20" s="10">
        <v>46772570.73309353</v>
      </c>
      <c r="D20" s="11" t="s">
        <v>3</v>
      </c>
      <c r="E20" s="1"/>
    </row>
    <row r="21" spans="1:5" x14ac:dyDescent="0.25">
      <c r="A21" s="1"/>
      <c r="B21" s="33" t="s">
        <v>12</v>
      </c>
      <c r="C21" s="28"/>
      <c r="D21" s="19"/>
      <c r="E21" s="1"/>
    </row>
    <row r="22" spans="1:5" x14ac:dyDescent="0.25">
      <c r="A22" s="1"/>
      <c r="B22" s="31" t="s">
        <v>12</v>
      </c>
      <c r="C22" s="10">
        <v>794404.45770336012</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47566975.190796889</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Nu/U5lG+2Z8PmtQgb8APJuyI1tnSn+NYERqSE9fuIYOb5iMQVPgGfNp650lZH/ClZ+PLpdrZ9M0/knGz1l5/Q==" saltValue="PZxCIqFVflThdLXQFhiBP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4" t="s">
        <v>46</v>
      </c>
      <c r="C4" s="115"/>
      <c r="D4" s="115"/>
      <c r="E4" s="115"/>
      <c r="F4" s="115"/>
      <c r="G4" s="115"/>
      <c r="H4" s="116"/>
      <c r="I4" s="1"/>
    </row>
    <row r="5" spans="1:9" x14ac:dyDescent="0.25">
      <c r="A5" s="1"/>
      <c r="B5" s="117" t="s">
        <v>38</v>
      </c>
      <c r="C5" s="118"/>
      <c r="D5" s="118"/>
      <c r="E5" s="118"/>
      <c r="F5" s="119"/>
      <c r="G5" s="63">
        <v>17435364.801369194</v>
      </c>
      <c r="H5" s="14" t="s">
        <v>3</v>
      </c>
      <c r="I5" s="1"/>
    </row>
    <row r="6" spans="1:9" x14ac:dyDescent="0.25">
      <c r="A6" s="1"/>
      <c r="B6" s="126" t="s">
        <v>102</v>
      </c>
      <c r="C6" s="127"/>
      <c r="D6" s="127"/>
      <c r="E6" s="127"/>
      <c r="F6" s="128"/>
      <c r="G6" s="66">
        <v>0</v>
      </c>
      <c r="H6" s="14" t="s">
        <v>3</v>
      </c>
      <c r="I6" s="1"/>
    </row>
    <row r="7" spans="1:9" x14ac:dyDescent="0.25">
      <c r="A7" s="1"/>
      <c r="B7" s="117" t="s">
        <v>39</v>
      </c>
      <c r="C7" s="118"/>
      <c r="D7" s="118"/>
      <c r="E7" s="118"/>
      <c r="F7" s="119"/>
      <c r="G7" s="23">
        <f>SUM(G5:G6)*'Fane 15. Nøgletal'!C33</f>
        <v>348707.29602738388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17385674.011685293</v>
      </c>
      <c r="H11" s="14" t="s">
        <v>3</v>
      </c>
      <c r="I11" s="1"/>
    </row>
    <row r="12" spans="1:9" ht="15" customHeight="1" x14ac:dyDescent="0.25">
      <c r="A12" s="1"/>
      <c r="B12" s="117" t="s">
        <v>103</v>
      </c>
      <c r="C12" s="118"/>
      <c r="D12" s="118"/>
      <c r="E12" s="118"/>
      <c r="F12" s="119"/>
      <c r="G12" s="66">
        <v>-9790.8203842979583</v>
      </c>
      <c r="H12" s="14" t="s">
        <v>3</v>
      </c>
      <c r="I12" s="1"/>
    </row>
    <row r="13" spans="1:9" x14ac:dyDescent="0.25">
      <c r="A13" s="1"/>
      <c r="B13" s="126" t="s">
        <v>100</v>
      </c>
      <c r="C13" s="127"/>
      <c r="D13" s="127"/>
      <c r="E13" s="127"/>
      <c r="F13" s="128"/>
      <c r="G13" s="66">
        <v>0</v>
      </c>
      <c r="H13" s="14" t="s">
        <v>3</v>
      </c>
      <c r="I13" s="1"/>
    </row>
    <row r="14" spans="1:9" x14ac:dyDescent="0.25">
      <c r="A14" s="1"/>
      <c r="B14" s="123" t="s">
        <v>244</v>
      </c>
      <c r="C14" s="124"/>
      <c r="D14" s="124"/>
      <c r="E14" s="124"/>
      <c r="F14" s="125"/>
      <c r="G14" s="66">
        <v>0</v>
      </c>
      <c r="H14" s="14" t="s">
        <v>3</v>
      </c>
      <c r="I14" s="1"/>
    </row>
    <row r="15" spans="1:9" x14ac:dyDescent="0.25">
      <c r="A15" s="1"/>
      <c r="B15" s="117" t="s">
        <v>41</v>
      </c>
      <c r="C15" s="118"/>
      <c r="D15" s="118"/>
      <c r="E15" s="118"/>
      <c r="F15" s="119"/>
      <c r="G15" s="23">
        <f>SUM(G11:G14)*'Fane 15. Nøgletal'!C33</f>
        <v>347517.66382601991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17326361.924205791</v>
      </c>
      <c r="H19" s="14" t="s">
        <v>3</v>
      </c>
      <c r="I19" s="1"/>
    </row>
    <row r="20" spans="1:9" x14ac:dyDescent="0.25">
      <c r="A20" s="1"/>
      <c r="B20" s="123" t="s">
        <v>245</v>
      </c>
      <c r="C20" s="124"/>
      <c r="D20" s="124"/>
      <c r="E20" s="124"/>
      <c r="F20" s="125"/>
      <c r="G20" s="66">
        <v>0</v>
      </c>
      <c r="H20" s="14" t="s">
        <v>3</v>
      </c>
      <c r="I20" s="1"/>
    </row>
    <row r="21" spans="1:9" x14ac:dyDescent="0.25">
      <c r="A21" s="1"/>
      <c r="B21" s="117" t="s">
        <v>43</v>
      </c>
      <c r="C21" s="118"/>
      <c r="D21" s="118"/>
      <c r="E21" s="118"/>
      <c r="F21" s="119"/>
      <c r="G21" s="23">
        <f>SUM(G19:G20)*'Fane 15. Nøgletal'!C33</f>
        <v>346527.23848411581</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17314337.429030396</v>
      </c>
      <c r="H25" s="14" t="s">
        <v>3</v>
      </c>
      <c r="I25" s="1"/>
    </row>
    <row r="26" spans="1:9" x14ac:dyDescent="0.25">
      <c r="A26" s="1"/>
      <c r="B26" s="123" t="s">
        <v>246</v>
      </c>
      <c r="C26" s="124"/>
      <c r="D26" s="124"/>
      <c r="E26" s="124"/>
      <c r="F26" s="125"/>
      <c r="G26" s="66">
        <v>0</v>
      </c>
      <c r="H26" s="14" t="s">
        <v>3</v>
      </c>
      <c r="I26" s="1"/>
    </row>
    <row r="27" spans="1:9" x14ac:dyDescent="0.25">
      <c r="A27" s="1"/>
      <c r="B27" s="117" t="s">
        <v>45</v>
      </c>
      <c r="C27" s="118"/>
      <c r="D27" s="118"/>
      <c r="E27" s="118"/>
      <c r="F27" s="119"/>
      <c r="G27" s="23">
        <f>(G25+G26)*'Fane 15. Nøgletal'!C33</f>
        <v>346286.74858060793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17302321.27885465</v>
      </c>
      <c r="H31" s="14" t="s">
        <v>3</v>
      </c>
      <c r="I31" s="1"/>
    </row>
    <row r="32" spans="1:9" x14ac:dyDescent="0.25">
      <c r="A32" s="1"/>
      <c r="B32" s="117" t="s">
        <v>243</v>
      </c>
      <c r="C32" s="118"/>
      <c r="D32" s="118"/>
      <c r="E32" s="118"/>
      <c r="F32" s="119"/>
      <c r="G32" s="63">
        <v>554897.70084168005</v>
      </c>
      <c r="H32" s="14" t="s">
        <v>3</v>
      </c>
      <c r="I32" s="1"/>
    </row>
    <row r="33" spans="1:9" x14ac:dyDescent="0.25">
      <c r="A33" s="1"/>
      <c r="B33" s="117" t="s">
        <v>54</v>
      </c>
      <c r="C33" s="118"/>
      <c r="D33" s="118"/>
      <c r="E33" s="118"/>
      <c r="F33" s="119"/>
      <c r="G33" s="23">
        <f>(G31+G32)*'Fane 15. Nøgletal'!C33</f>
        <v>357144.3795939266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17557824.846282743</v>
      </c>
      <c r="H37" s="14" t="s">
        <v>3</v>
      </c>
      <c r="I37" s="1"/>
    </row>
    <row r="38" spans="1:9" x14ac:dyDescent="0.25">
      <c r="A38" s="1"/>
      <c r="B38" s="117" t="s">
        <v>242</v>
      </c>
      <c r="C38" s="118"/>
      <c r="D38" s="118"/>
      <c r="E38" s="118"/>
      <c r="F38" s="119"/>
      <c r="G38" s="63">
        <v>0</v>
      </c>
      <c r="H38" s="14" t="s">
        <v>3</v>
      </c>
      <c r="I38" s="1"/>
    </row>
    <row r="39" spans="1:9" x14ac:dyDescent="0.25">
      <c r="A39" s="1"/>
      <c r="B39" s="117" t="s">
        <v>128</v>
      </c>
      <c r="C39" s="118"/>
      <c r="D39" s="118"/>
      <c r="E39" s="118"/>
      <c r="F39" s="119"/>
      <c r="G39" s="23">
        <f>(G37+G38)*'Fane 15. Nøgletal'!C33</f>
        <v>351156.49692565488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17263450.354909968</v>
      </c>
      <c r="H43" s="14" t="s">
        <v>3</v>
      </c>
      <c r="I43" s="1"/>
    </row>
    <row r="44" spans="1:9" x14ac:dyDescent="0.25">
      <c r="A44" s="1"/>
      <c r="B44" s="120" t="s">
        <v>157</v>
      </c>
      <c r="C44" s="121"/>
      <c r="D44" s="121"/>
      <c r="E44" s="121"/>
      <c r="F44" s="122"/>
      <c r="G44" s="45">
        <v>28107.224570880004</v>
      </c>
      <c r="H44" s="14" t="s">
        <v>3</v>
      </c>
      <c r="I44" s="1"/>
    </row>
    <row r="45" spans="1:9" x14ac:dyDescent="0.25">
      <c r="A45" s="1"/>
      <c r="B45" s="117" t="s">
        <v>129</v>
      </c>
      <c r="C45" s="118"/>
      <c r="D45" s="118"/>
      <c r="E45" s="118"/>
      <c r="F45" s="119"/>
      <c r="G45" s="23">
        <f>SUM(G43:G44)*'Fane 15. Nøgletal'!C33</f>
        <v>345831.15158961702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18314941.123264842</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3238.3212596672001</v>
      </c>
      <c r="H53" s="14" t="s">
        <v>3</v>
      </c>
      <c r="I53" s="1"/>
    </row>
    <row r="54" spans="1:9" x14ac:dyDescent="0.25">
      <c r="A54" s="1"/>
      <c r="B54" s="117" t="s">
        <v>210</v>
      </c>
      <c r="C54" s="118"/>
      <c r="D54" s="118"/>
      <c r="E54" s="118"/>
      <c r="F54" s="119"/>
      <c r="G54" s="23">
        <f>(G52)*'Fane 15. Nøgletal'!C33+(G53)*'Fane 15. Nøgletal'!C33</f>
        <v>366363.58889049018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8" t="s">
        <v>212</v>
      </c>
      <c r="C58" s="79"/>
      <c r="D58" s="79"/>
      <c r="E58" s="79"/>
      <c r="F58" s="80"/>
      <c r="G58" s="23">
        <f>(G52+G53-G54)*(1+'Fane 15. Nøgletal'!C16)</f>
        <v>19402322.576769248</v>
      </c>
      <c r="H58" s="14" t="s">
        <v>3</v>
      </c>
      <c r="I58" s="1"/>
    </row>
    <row r="59" spans="1:9" x14ac:dyDescent="0.25">
      <c r="A59" s="1"/>
      <c r="B59" s="78" t="s">
        <v>211</v>
      </c>
      <c r="C59" s="79"/>
      <c r="D59" s="79"/>
      <c r="E59" s="79"/>
      <c r="F59" s="80"/>
      <c r="G59" s="23">
        <f>(G58)*'Fane 15. Nøgletal'!C33</f>
        <v>388046.45153538499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256</v>
      </c>
      <c r="C62" s="115"/>
      <c r="D62" s="115"/>
      <c r="E62" s="115"/>
      <c r="F62" s="115"/>
      <c r="G62" s="115"/>
      <c r="H62" s="116"/>
      <c r="I62" s="1"/>
    </row>
    <row r="63" spans="1:9" x14ac:dyDescent="0.25">
      <c r="A63" s="1"/>
      <c r="B63" s="78" t="s">
        <v>213</v>
      </c>
      <c r="C63" s="79"/>
      <c r="D63" s="79"/>
      <c r="E63" s="79"/>
      <c r="F63" s="80"/>
      <c r="G63" s="23">
        <f>(G58-G59)*(1+'Fane 15. Nøgletal'!C16)</f>
        <v>20550629.636152759</v>
      </c>
      <c r="H63" s="14" t="s">
        <v>3</v>
      </c>
      <c r="I63" s="1"/>
    </row>
    <row r="64" spans="1:9" x14ac:dyDescent="0.25">
      <c r="A64" s="1"/>
      <c r="B64" s="78" t="s">
        <v>214</v>
      </c>
      <c r="C64" s="79"/>
      <c r="D64" s="79"/>
      <c r="E64" s="79"/>
      <c r="F64" s="80"/>
      <c r="G64" s="23">
        <f>(G63)*'Fane 15. Nøgletal'!C33</f>
        <v>411012.59272305522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257</v>
      </c>
      <c r="C67" s="115"/>
      <c r="D67" s="115"/>
      <c r="E67" s="115"/>
      <c r="F67" s="115"/>
      <c r="G67" s="115"/>
      <c r="H67" s="116"/>
      <c r="I67" s="1"/>
    </row>
    <row r="68" spans="1:9" x14ac:dyDescent="0.25">
      <c r="A68" s="1"/>
      <c r="B68" s="78" t="s">
        <v>213</v>
      </c>
      <c r="C68" s="79"/>
      <c r="D68" s="79"/>
      <c r="E68" s="79"/>
      <c r="F68" s="80"/>
      <c r="G68" s="23">
        <f>(G63-G64)*(1+'Fane 15. Nøgletal'!C16)</f>
        <v>21766898.100538824</v>
      </c>
      <c r="H68" s="14" t="s">
        <v>3</v>
      </c>
      <c r="I68" s="1"/>
    </row>
    <row r="69" spans="1:9" x14ac:dyDescent="0.25">
      <c r="A69" s="1"/>
      <c r="B69" s="78" t="s">
        <v>214</v>
      </c>
      <c r="C69" s="79"/>
      <c r="D69" s="79"/>
      <c r="E69" s="79"/>
      <c r="F69" s="80"/>
      <c r="G69" s="23">
        <f>(G68)*'Fane 15. Nøgletal'!C33</f>
        <v>435337.96201077651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gppeKkGjxd2qhJS6FjrmbrudoCGOeRxCviVzz6pTdCjLl9Z12cR3yHakcluYsmdemVzv6P636sATBD3jhlVWyA==" saltValue="pgofilWDyFlexSZLBAqmKQ=="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4" t="s">
        <v>50</v>
      </c>
      <c r="C4" s="115"/>
      <c r="D4" s="115"/>
      <c r="E4" s="115"/>
      <c r="F4" s="115"/>
      <c r="G4" s="115"/>
      <c r="H4" s="116"/>
      <c r="I4" s="1"/>
    </row>
    <row r="5" spans="1:9" x14ac:dyDescent="0.25">
      <c r="A5" s="1"/>
      <c r="B5" s="117" t="s">
        <v>55</v>
      </c>
      <c r="C5" s="118"/>
      <c r="D5" s="118"/>
      <c r="E5" s="118"/>
      <c r="F5" s="119"/>
      <c r="G5" s="63">
        <v>34281390.485455699</v>
      </c>
      <c r="H5" s="14" t="s">
        <v>3</v>
      </c>
      <c r="I5" s="1"/>
    </row>
    <row r="6" spans="1:9" x14ac:dyDescent="0.25">
      <c r="A6" s="1"/>
      <c r="B6" s="117" t="s">
        <v>51</v>
      </c>
      <c r="C6" s="118"/>
      <c r="D6" s="118"/>
      <c r="E6" s="118"/>
      <c r="F6" s="119"/>
      <c r="G6" s="23">
        <f>G5*'Fane 15. Nøgletal'!C21</f>
        <v>311960.65341764688</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23">
        <f>(G5-G6)*(1+'Fane 15. Nøgletal'!C10)</f>
        <v>34563894.854098722</v>
      </c>
      <c r="H10" s="14" t="s">
        <v>3</v>
      </c>
      <c r="I10" s="1"/>
    </row>
    <row r="11" spans="1:9" x14ac:dyDescent="0.25">
      <c r="A11" s="1"/>
      <c r="B11" s="117" t="s">
        <v>104</v>
      </c>
      <c r="C11" s="118"/>
      <c r="D11" s="118"/>
      <c r="E11" s="118"/>
      <c r="F11" s="119"/>
      <c r="G11" s="63">
        <v>890556.02083197457</v>
      </c>
      <c r="H11" s="14" t="s">
        <v>3</v>
      </c>
      <c r="I11" s="1"/>
    </row>
    <row r="12" spans="1:9" x14ac:dyDescent="0.25">
      <c r="A12" s="1"/>
      <c r="B12" s="123" t="s">
        <v>247</v>
      </c>
      <c r="C12" s="124"/>
      <c r="D12" s="124"/>
      <c r="E12" s="124"/>
      <c r="F12" s="125"/>
      <c r="G12" s="66">
        <v>0</v>
      </c>
      <c r="H12" s="14" t="s">
        <v>3</v>
      </c>
      <c r="I12" s="1"/>
    </row>
    <row r="13" spans="1:9" x14ac:dyDescent="0.25">
      <c r="A13" s="1"/>
      <c r="B13" s="117" t="s">
        <v>58</v>
      </c>
      <c r="C13" s="118"/>
      <c r="D13" s="118"/>
      <c r="E13" s="118"/>
      <c r="F13" s="119"/>
      <c r="G13" s="23">
        <f>SUM(G10:G12)*'Fane 15. Nøgletal'!C22</f>
        <v>627543.78048627335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23">
        <f>(SUM(G10:G12)-G13)*(1+'Fane 15. Nøgletal'!C10)</f>
        <v>35436377.968597203</v>
      </c>
      <c r="H17" s="14" t="s">
        <v>3</v>
      </c>
      <c r="I17" s="1"/>
    </row>
    <row r="18" spans="1:9" x14ac:dyDescent="0.25">
      <c r="A18" s="1"/>
      <c r="B18" s="123" t="s">
        <v>248</v>
      </c>
      <c r="C18" s="124"/>
      <c r="D18" s="124"/>
      <c r="E18" s="124"/>
      <c r="F18" s="125"/>
      <c r="G18" s="63">
        <v>467681.76249225991</v>
      </c>
      <c r="H18" s="14" t="s">
        <v>3</v>
      </c>
      <c r="I18" s="1"/>
    </row>
    <row r="19" spans="1:9" x14ac:dyDescent="0.25">
      <c r="A19" s="1"/>
      <c r="B19" s="117" t="s">
        <v>61</v>
      </c>
      <c r="C19" s="118"/>
      <c r="D19" s="118"/>
      <c r="E19" s="118"/>
      <c r="F19" s="119"/>
      <c r="G19" s="23">
        <f>G17*'Fane 15. Nøgletal'!C22+G18*'Fane 15. Nøgletal'!C23</f>
        <v>631292.72137785319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23">
        <f>(G17+G18-G19)*(1+'Fane 15. Nøgletal'!C12)</f>
        <v>35967640.519802935</v>
      </c>
      <c r="H23" s="14" t="s">
        <v>3</v>
      </c>
      <c r="I23" s="1"/>
    </row>
    <row r="24" spans="1:9" x14ac:dyDescent="0.25">
      <c r="A24" s="1"/>
      <c r="B24" s="123" t="s">
        <v>249</v>
      </c>
      <c r="C24" s="124"/>
      <c r="D24" s="124"/>
      <c r="E24" s="124"/>
      <c r="F24" s="125"/>
      <c r="G24" s="63">
        <v>0</v>
      </c>
      <c r="H24" s="14" t="s">
        <v>3</v>
      </c>
      <c r="I24" s="1"/>
    </row>
    <row r="25" spans="1:9" x14ac:dyDescent="0.25">
      <c r="A25" s="1"/>
      <c r="B25" s="117" t="s">
        <v>64</v>
      </c>
      <c r="C25" s="118"/>
      <c r="D25" s="118"/>
      <c r="E25" s="118"/>
      <c r="F25" s="119"/>
      <c r="G25" s="23">
        <f>(G23+G24)*'Fane 15. Nøgletal'!C24</f>
        <v>1021480.9907624035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23">
        <f>(G23+G24-G25)*(1+'Fane 15. Nøgletal'!C12)</f>
        <v>35634598.871762633</v>
      </c>
      <c r="H29" s="14" t="s">
        <v>3</v>
      </c>
      <c r="I29" s="1"/>
    </row>
    <row r="30" spans="1:9" x14ac:dyDescent="0.25">
      <c r="A30" s="1"/>
      <c r="B30" s="117" t="s">
        <v>250</v>
      </c>
      <c r="C30" s="118"/>
      <c r="D30" s="118"/>
      <c r="E30" s="118"/>
      <c r="F30" s="119"/>
      <c r="G30" s="63">
        <v>989913.96646380005</v>
      </c>
      <c r="H30" s="14" t="s">
        <v>3</v>
      </c>
      <c r="I30" s="1"/>
    </row>
    <row r="31" spans="1:9" x14ac:dyDescent="0.25">
      <c r="A31" s="1"/>
      <c r="B31" s="117" t="s">
        <v>67</v>
      </c>
      <c r="C31" s="118"/>
      <c r="D31" s="118"/>
      <c r="E31" s="118"/>
      <c r="F31" s="119"/>
      <c r="G31" s="23">
        <f>G29*'Fane 15. Nøgletal'!C24+G30*'Fane 15. Nøgletal'!C25</f>
        <v>1039245.2420358133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215</v>
      </c>
      <c r="C35" s="118"/>
      <c r="D35" s="118"/>
      <c r="E35" s="118"/>
      <c r="F35" s="119"/>
      <c r="G35" s="23">
        <f>(G29+G30-G31)*(1+'Fane 15. Nøgletal'!C14)</f>
        <v>35702698.979258046</v>
      </c>
      <c r="H35" s="14" t="s">
        <v>3</v>
      </c>
      <c r="I35" s="1"/>
    </row>
    <row r="36" spans="1:9" x14ac:dyDescent="0.25">
      <c r="A36" s="1"/>
      <c r="B36" s="117" t="s">
        <v>251</v>
      </c>
      <c r="C36" s="118"/>
      <c r="D36" s="118"/>
      <c r="E36" s="118"/>
      <c r="F36" s="119"/>
      <c r="G36" s="63">
        <v>0</v>
      </c>
      <c r="H36" s="14" t="s">
        <v>3</v>
      </c>
      <c r="I36" s="1"/>
    </row>
    <row r="37" spans="1:9" x14ac:dyDescent="0.25">
      <c r="A37" s="1"/>
      <c r="B37" s="117" t="s">
        <v>131</v>
      </c>
      <c r="C37" s="118"/>
      <c r="D37" s="118"/>
      <c r="E37" s="118"/>
      <c r="F37" s="119"/>
      <c r="G37" s="23">
        <f>(G35+G36)*'Fane 15. Nøgletal'!C26</f>
        <v>528399.94489301904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216</v>
      </c>
      <c r="C41" s="118"/>
      <c r="D41" s="118"/>
      <c r="E41" s="118"/>
      <c r="F41" s="119"/>
      <c r="G41" s="23">
        <f>(G35+G36-G37)*(1+'Fane 15. Nøgletal'!C14)</f>
        <v>35290374.221178435</v>
      </c>
      <c r="H41" s="14" t="s">
        <v>3</v>
      </c>
      <c r="I41" s="1"/>
    </row>
    <row r="42" spans="1:9" x14ac:dyDescent="0.25">
      <c r="A42" s="1"/>
      <c r="B42" s="40" t="s">
        <v>156</v>
      </c>
      <c r="C42" s="79"/>
      <c r="D42" s="79"/>
      <c r="E42" s="79"/>
      <c r="F42" s="80"/>
      <c r="G42" s="23">
        <v>11660.937605280002</v>
      </c>
      <c r="H42" s="14" t="s">
        <v>3</v>
      </c>
      <c r="I42" s="1"/>
    </row>
    <row r="43" spans="1:9" x14ac:dyDescent="0.25">
      <c r="A43" s="1"/>
      <c r="B43" s="117" t="s">
        <v>132</v>
      </c>
      <c r="C43" s="118"/>
      <c r="D43" s="118"/>
      <c r="E43" s="118"/>
      <c r="F43" s="119"/>
      <c r="G43" s="23">
        <f>(G41)*'Fane 15. Nøgletal'!C26+G42*'Fane 15. Nøgletal'!C27</f>
        <v>522297.53847344086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259</v>
      </c>
      <c r="C52" s="115"/>
      <c r="D52" s="115"/>
      <c r="E52" s="115"/>
      <c r="F52" s="115"/>
      <c r="G52" s="115"/>
      <c r="H52" s="116"/>
      <c r="I52" s="1"/>
    </row>
    <row r="53" spans="1:9" x14ac:dyDescent="0.25">
      <c r="A53" s="1"/>
      <c r="B53" s="117" t="s">
        <v>217</v>
      </c>
      <c r="C53" s="118"/>
      <c r="D53" s="118"/>
      <c r="E53" s="118"/>
      <c r="F53" s="119"/>
      <c r="G53" s="23">
        <f>(G41+G42-G43)*(1+'Fane 15. Nøgletal'!C16)</f>
        <v>37589940.420031339</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2446.236591456</v>
      </c>
      <c r="H54" s="14" t="s">
        <v>3</v>
      </c>
      <c r="I54" s="1"/>
    </row>
    <row r="55" spans="1:9" x14ac:dyDescent="0.25">
      <c r="A55" s="1"/>
      <c r="B55" s="117" t="s">
        <v>218</v>
      </c>
      <c r="C55" s="118"/>
      <c r="D55" s="118"/>
      <c r="E55" s="118"/>
      <c r="F55" s="119"/>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258</v>
      </c>
      <c r="C58" s="115"/>
      <c r="D58" s="115"/>
      <c r="E58" s="115"/>
      <c r="F58" s="115"/>
      <c r="G58" s="115"/>
      <c r="H58" s="116"/>
      <c r="I58" s="1"/>
    </row>
    <row r="59" spans="1:9" x14ac:dyDescent="0.25">
      <c r="A59" s="1"/>
      <c r="B59" s="117" t="s">
        <v>219</v>
      </c>
      <c r="C59" s="118"/>
      <c r="D59" s="118"/>
      <c r="E59" s="118"/>
      <c r="F59" s="119"/>
      <c r="G59" s="23">
        <f>(G53+G54-G55)*(1+'Fane 15. Nøgletal'!C16)</f>
        <v>40629851.498477921</v>
      </c>
      <c r="H59" s="14" t="s">
        <v>3</v>
      </c>
      <c r="I59" s="1"/>
    </row>
    <row r="60" spans="1:9" x14ac:dyDescent="0.25">
      <c r="A60" s="1"/>
      <c r="B60" s="117" t="s">
        <v>220</v>
      </c>
      <c r="C60" s="118"/>
      <c r="D60" s="118"/>
      <c r="E60" s="118"/>
      <c r="F60" s="119"/>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221</v>
      </c>
      <c r="C64" s="118"/>
      <c r="D64" s="118"/>
      <c r="E64" s="118"/>
      <c r="F64" s="119"/>
      <c r="G64" s="23">
        <f>(G59-G60)*(1+'Fane 15. Nøgletal'!C16)</f>
        <v>43912743.49955494</v>
      </c>
      <c r="H64" s="14" t="s">
        <v>3</v>
      </c>
      <c r="I64" s="1"/>
    </row>
    <row r="65" spans="1:9" x14ac:dyDescent="0.25">
      <c r="A65" s="1"/>
      <c r="B65" s="117" t="s">
        <v>222</v>
      </c>
      <c r="C65" s="118"/>
      <c r="D65" s="118"/>
      <c r="E65" s="118"/>
      <c r="F65" s="119"/>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223</v>
      </c>
      <c r="C68" s="115"/>
      <c r="D68" s="115"/>
      <c r="E68" s="115"/>
      <c r="F68" s="115"/>
      <c r="G68" s="115"/>
      <c r="H68" s="116"/>
      <c r="I68" s="1"/>
    </row>
    <row r="69" spans="1:9" x14ac:dyDescent="0.25">
      <c r="A69" s="1"/>
      <c r="B69" s="117" t="s">
        <v>221</v>
      </c>
      <c r="C69" s="118"/>
      <c r="D69" s="118"/>
      <c r="E69" s="118"/>
      <c r="F69" s="119"/>
      <c r="G69" s="23">
        <f>(G64-G65)*(1+'Fane 15. Nøgletal'!C16)</f>
        <v>47460893.174318977</v>
      </c>
      <c r="H69" s="14" t="s">
        <v>3</v>
      </c>
      <c r="I69" s="1"/>
    </row>
    <row r="70" spans="1:9" x14ac:dyDescent="0.25">
      <c r="A70" s="1"/>
      <c r="B70" s="117" t="s">
        <v>222</v>
      </c>
      <c r="C70" s="118"/>
      <c r="D70" s="118"/>
      <c r="E70" s="118"/>
      <c r="F70" s="119"/>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LpxhTU33s3wNRaxkukp3yn8M2UcG263/qgf+7lv7r6C23JA26GxGFbYH+xkG/rdanYFLO5Dv83slw0QlG8Qbmw==" saltValue="ylY33v/tGOmublpICep8Q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271</v>
      </c>
      <c r="C9" s="118"/>
      <c r="D9" s="118"/>
      <c r="E9" s="118"/>
      <c r="F9" s="119"/>
      <c r="G9" s="22">
        <v>0.02</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h7UgPdU9xGBvY+mQt26rJXG7Z7RslLL03Bbu7in3w0Kx9nw1caQXB/whaiZHE8wHE9YcQLH8E5pRmyDcuEHXjg==" saltValue="dGuUd3UFxhyfmA5RnpkCn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2023-09-06T10:48:15Z</dcterms:modified>
</cp:coreProperties>
</file>