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Sjælsø AS (V164)\ØR2025\"/>
    </mc:Choice>
  </mc:AlternateContent>
  <xr:revisionPtr revIDLastSave="0" documentId="13_ncr:1_{08DB6CE5-87A6-4D02-BB06-6E9E629A1DE4}"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<sst xmlns="http://schemas.openxmlformats.org/spreadsheetml/2006/main" count="450" uniqueCount="205">
  <si>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</si>
  <si>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</si>
  <si>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</si>
  <si>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</si>
  <si>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</si>
  <si>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</si>
  <si>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</si>
  <si>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</si>
  <si>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</si>
  <si>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</si>
  <si>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</si>
  <si>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</si>
  <si>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</si>
  <si>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</si>
  <si>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</si>
  <si>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</si>
  <si>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</si>
  <si>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</si>
  <si>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</si>
  <si>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</si>
  <si>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</si>
  <si>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</si>
  <si>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</si>
  <si>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</si>
  <si>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</si>
  <si>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</si>
  <si>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</si>
  <si>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</si>
  <si>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</si>
  <si>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</si>
  <si>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</si>
  <si>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</si>
  <si>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</si>
  <si>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</si>
  <si>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</si>
  <si>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</si>
  <si>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</si>
  <si>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</si>
  <si>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</si>
  <si>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</si>
  <si>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</si>
  <si>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</si>
  <si>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</si>
  <si>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</si>
  <si>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</si>
  <si>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</si>
  <si>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</si>
  <si>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</si>
  <si>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</si>
  <si>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</si>
  <si>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</si>
  <si>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</si>
  <si>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</si>
  <si>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</si>
  <si>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</si>
  <si>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</si>
  <si>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</si>
  <si>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</si>
  <si>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</si>
  <si>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</si>
  <si>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</si>
  <si>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</si>
  <si>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</si>
  <si>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</si>
  <si>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</si>
  <si>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</si>
  <si>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</si>
  <si>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</si>
  <si>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</si>
  <si>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</si>
  <si>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</si>
  <si>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</si>
  <si>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</si>
  <si>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</si>
  <si>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</si>
  <si>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</si>
  <si>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</si>
  <si>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</si>
  <si>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</si>
  <si>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</si>
  <si>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</si>
  <si>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</si>
  <si>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</si>
  <si>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</si>
  <si>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</si>
  <si>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</si>
  <si>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</si>
  <si>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</si>
  <si>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</si>
  <si>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</si>
  <si>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</si>
  <si>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</si>
  <si>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</si>
  <si>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</si>
  <si>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</si>
  <si>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</si>
  <si>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</si>
  <si>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</si>
  <si>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</si>
  <si>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</si>
  <si>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</si>
  <si>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</si>
  <si>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</si>
  <si>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</si>
  <si>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</si>
  <si>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</si>
  <si>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</si>
  <si>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</si>
  <si>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</si>
  <si>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</si>
  <si>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</si>
  <si>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</si>
  <si>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</si>
  <si>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</si>
  <si>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</si>
  <si>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</si>
  <si>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</si>
  <si>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</si>
  <si>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</si>
  <si>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</si>
  <si>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</si>
  <si>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</si>
  <si>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</si>
  <si>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</si>
  <si>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</si>
  <si>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</si>
  <si>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</si>
  <si>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</si>
  <si>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</si>
  <si>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</si>
  <si>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</si>
  <si>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</si>
  <si>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</si>
  <si>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</si>
  <si>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</si>
  <si>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</si>
  <si>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</si>
  <si>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</si>
  <si>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</si>
  <si>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</si>
  <si>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</si>
  <si>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</si>
  <si>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</si>
  <si>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</si>
  <si>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</si>
  <si>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</si>
  <si>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</si>
  <si>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</si>
  <si>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</si>
  <si>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</si>
  <si>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</si>
  <si>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</si>
  <si>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</si>
  <si>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</si>
  <si>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</si>
  <si>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</si>
  <si>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</si>
  <si>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</si>
  <si>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</si>
  <si>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</si>
  <si>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</si>
  <si>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</si>
  <si>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</si>
  <si>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</si>
  <si>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</si>
  <si>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</si>
  <si>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</si>
  <si>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</si>
  <si>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</si>
  <si>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</si>
  <si>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</si>
  <si>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</si>
  <si>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</si>
  <si>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</si>
  <si>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</si>
  <si>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</si>
  <si>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</si>
  <si>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</si>
  <si>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</si>
  <si>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</si>
  <si>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</si>
  <si>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</si>
  <si>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</si>
  <si>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</si>
  <si>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</si>
  <si>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</si>
  <si>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</si>
  <si>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</si>
  <si>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</si>
  <si>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</si>
  <si>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</si>
  <si>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</si>
  <si>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</si>
  <si>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</si>
  <si>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</si>
  <si>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</si>
  <si>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</si>
  <si>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</si>
  <si>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</si>
  <si>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til Forsyningssekretariatet</t>
  </si>
  <si>
    <t>Køb af ydelser og produkter fra andre vandselskaber reguleret af vandsektorloven</t>
  </si>
  <si>
    <t>Ejendomsskatter</t>
  </si>
  <si>
    <t>Tjenestemandspensioner</t>
  </si>
  <si>
    <t>VSJ Ignition</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</si>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</sst>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8" t="s">
        <v>4</v>
      </c>
      <c r="D6" s="78"/>
      <c r="E6" s="78"/>
      <c r="F6" s="78"/>
      <c r="G6" s="1"/>
    </row>
    <row r="7" spans="1:7" ht="15" customHeight="1" x14ac:dyDescent="0.25">
      <c r="A7" s="1"/>
      <c r="B7" s="3"/>
      <c r="C7" s="78"/>
      <c r="D7" s="78"/>
      <c r="E7" s="78"/>
      <c r="F7" s="78"/>
      <c r="G7" s="1"/>
    </row>
    <row r="8" spans="1:7" ht="15.75" x14ac:dyDescent="0.25">
      <c r="A8" s="1"/>
      <c r="B8" s="4"/>
      <c r="C8" s="83" t="s">
        <v>198</v>
      </c>
      <c r="D8" s="83"/>
      <c r="E8" s="83"/>
      <c r="F8" s="83"/>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2" t="s">
        <v>5</v>
      </c>
      <c r="D11" s="82"/>
      <c r="E11" s="82"/>
      <c r="F11" s="82"/>
      <c r="G11" s="1"/>
    </row>
    <row r="12" spans="1:7" x14ac:dyDescent="0.25">
      <c r="A12" s="1"/>
      <c r="B12" s="1"/>
      <c r="C12" s="1"/>
      <c r="D12" s="1"/>
      <c r="E12" s="1"/>
      <c r="F12" s="1"/>
      <c r="G12" s="1"/>
    </row>
    <row r="13" spans="1:7" x14ac:dyDescent="0.25">
      <c r="A13" s="1"/>
      <c r="B13" s="6" t="s">
        <v>6</v>
      </c>
      <c r="C13" s="75" t="s">
        <v>124</v>
      </c>
      <c r="D13" s="76"/>
      <c r="E13" s="76"/>
      <c r="F13" s="77"/>
      <c r="G13" s="1"/>
    </row>
    <row r="14" spans="1:7" x14ac:dyDescent="0.25">
      <c r="A14" s="1"/>
      <c r="B14" s="6" t="s">
        <v>14</v>
      </c>
      <c r="C14" s="75" t="s">
        <v>159</v>
      </c>
      <c r="D14" s="76"/>
      <c r="E14" s="76"/>
      <c r="F14" s="77"/>
      <c r="G14" s="1"/>
    </row>
    <row r="15" spans="1:7" x14ac:dyDescent="0.25">
      <c r="A15" s="1"/>
      <c r="B15" s="6" t="s">
        <v>29</v>
      </c>
      <c r="C15" s="75" t="s">
        <v>107</v>
      </c>
      <c r="D15" s="76"/>
      <c r="E15" s="76"/>
      <c r="F15" s="77"/>
      <c r="G15" s="1"/>
    </row>
    <row r="16" spans="1:7" x14ac:dyDescent="0.25">
      <c r="A16" s="1"/>
      <c r="B16" s="6" t="s">
        <v>30</v>
      </c>
      <c r="C16" s="75" t="s">
        <v>125</v>
      </c>
      <c r="D16" s="76"/>
      <c r="E16" s="76"/>
      <c r="F16" s="77"/>
      <c r="G16" s="1"/>
    </row>
    <row r="17" spans="1:7" x14ac:dyDescent="0.25">
      <c r="A17" s="1"/>
      <c r="B17" s="6" t="s">
        <v>57</v>
      </c>
      <c r="C17" s="75" t="s">
        <v>126</v>
      </c>
      <c r="D17" s="76"/>
      <c r="E17" s="76"/>
      <c r="F17" s="77"/>
      <c r="G17" s="1"/>
    </row>
    <row r="18" spans="1:7" x14ac:dyDescent="0.25">
      <c r="A18" s="1"/>
      <c r="B18" s="6" t="s">
        <v>49</v>
      </c>
      <c r="C18" s="84" t="s">
        <v>42</v>
      </c>
      <c r="D18" s="85"/>
      <c r="E18" s="85"/>
      <c r="F18" s="86"/>
      <c r="G18" s="1"/>
    </row>
    <row r="19" spans="1:7" x14ac:dyDescent="0.25">
      <c r="A19" s="1"/>
      <c r="B19" s="6" t="s">
        <v>50</v>
      </c>
      <c r="C19" s="84" t="s">
        <v>43</v>
      </c>
      <c r="D19" s="85"/>
      <c r="E19" s="85"/>
      <c r="F19" s="86"/>
      <c r="G19" s="1"/>
    </row>
    <row r="20" spans="1:7" x14ac:dyDescent="0.25">
      <c r="A20" s="1"/>
      <c r="B20" s="6" t="s">
        <v>7</v>
      </c>
      <c r="C20" s="84" t="s">
        <v>9</v>
      </c>
      <c r="D20" s="85"/>
      <c r="E20" s="85"/>
      <c r="F20" s="86"/>
      <c r="G20" s="1"/>
    </row>
    <row r="21" spans="1:7" x14ac:dyDescent="0.25">
      <c r="A21" s="1"/>
      <c r="B21" s="6" t="s">
        <v>51</v>
      </c>
      <c r="C21" s="90" t="s">
        <v>11</v>
      </c>
      <c r="D21" s="91"/>
      <c r="E21" s="91"/>
      <c r="F21" s="92"/>
      <c r="G21" s="1"/>
    </row>
    <row r="22" spans="1:7" x14ac:dyDescent="0.25">
      <c r="A22" s="1"/>
      <c r="B22" s="6" t="s">
        <v>37</v>
      </c>
      <c r="C22" s="79" t="s">
        <v>127</v>
      </c>
      <c r="D22" s="80"/>
      <c r="E22" s="80"/>
      <c r="F22" s="81"/>
      <c r="G22" s="1"/>
    </row>
    <row r="23" spans="1:7" x14ac:dyDescent="0.25">
      <c r="A23" s="1"/>
      <c r="B23" s="6" t="s">
        <v>8</v>
      </c>
      <c r="C23" s="79" t="s">
        <v>89</v>
      </c>
      <c r="D23" s="80"/>
      <c r="E23" s="80"/>
      <c r="F23" s="81"/>
      <c r="G23" s="1"/>
    </row>
    <row r="24" spans="1:7" x14ac:dyDescent="0.25">
      <c r="A24" s="1"/>
      <c r="B24" s="6" t="s">
        <v>85</v>
      </c>
      <c r="C24" s="79" t="s">
        <v>78</v>
      </c>
      <c r="D24" s="80"/>
      <c r="E24" s="80"/>
      <c r="F24" s="81"/>
      <c r="G24" s="1"/>
    </row>
    <row r="25" spans="1:7" x14ac:dyDescent="0.25">
      <c r="A25" s="1"/>
      <c r="B25" s="6" t="s">
        <v>86</v>
      </c>
      <c r="C25" s="79" t="s">
        <v>38</v>
      </c>
      <c r="D25" s="80"/>
      <c r="E25" s="80"/>
      <c r="F25" s="81"/>
      <c r="G25" s="1"/>
    </row>
    <row r="26" spans="1:7" x14ac:dyDescent="0.25">
      <c r="A26" s="1"/>
      <c r="B26" s="6" t="s">
        <v>87</v>
      </c>
      <c r="C26" s="79" t="s">
        <v>39</v>
      </c>
      <c r="D26" s="80"/>
      <c r="E26" s="80"/>
      <c r="F26" s="81"/>
      <c r="G26" s="1"/>
    </row>
    <row r="27" spans="1:7" x14ac:dyDescent="0.25">
      <c r="A27" s="1"/>
      <c r="B27" s="6" t="s">
        <v>52</v>
      </c>
      <c r="C27" s="79" t="s">
        <v>58</v>
      </c>
      <c r="D27" s="80"/>
      <c r="E27" s="80"/>
      <c r="F27" s="81"/>
      <c r="G27" s="1"/>
    </row>
    <row r="28" spans="1:7" x14ac:dyDescent="0.25">
      <c r="A28" s="1"/>
      <c r="B28" s="6" t="s">
        <v>46</v>
      </c>
      <c r="C28" s="79" t="s">
        <v>31</v>
      </c>
      <c r="D28" s="80"/>
      <c r="E28" s="80"/>
      <c r="F28" s="81"/>
      <c r="G28" s="1"/>
    </row>
    <row r="29" spans="1:7" x14ac:dyDescent="0.25">
      <c r="A29" s="1"/>
      <c r="B29" s="6" t="s">
        <v>88</v>
      </c>
      <c r="C29" s="87" t="s">
        <v>47</v>
      </c>
      <c r="D29" s="88"/>
      <c r="E29" s="88"/>
      <c r="F29" s="8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9L3dICaW3bea+dGO03dfcIvZM+vKQ3xKtjYFn+w3SkdV12EiTRgomkqy33cLR5sC4xYt8izDWx66zRZ9EK64cQ==" saltValue="TxnU8fP/OKa7fbxMr6mKWA=="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55</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7" t="s">
        <v>142</v>
      </c>
      <c r="C8" s="98"/>
      <c r="D8" s="99"/>
      <c r="E8" s="1"/>
    </row>
    <row r="9" spans="1:5" ht="15" customHeight="1" x14ac:dyDescent="0.25">
      <c r="A9" s="1"/>
      <c r="B9" s="51" t="s">
        <v>27</v>
      </c>
      <c r="C9" s="45" t="s">
        <v>145</v>
      </c>
      <c r="D9" s="11"/>
      <c r="E9" s="1"/>
    </row>
    <row r="10" spans="1:5" ht="15" customHeight="1" x14ac:dyDescent="0.25">
      <c r="A10" s="1"/>
      <c r="B10" s="64" t="s">
        <v>199</v>
      </c>
      <c r="C10" s="65">
        <v>186414</v>
      </c>
      <c r="D10" s="14" t="s">
        <v>3</v>
      </c>
      <c r="E10" s="1"/>
    </row>
    <row r="11" spans="1:5" ht="25.5" x14ac:dyDescent="0.25">
      <c r="A11" s="1"/>
      <c r="B11" s="64" t="s">
        <v>200</v>
      </c>
      <c r="C11" s="7">
        <v>22844</v>
      </c>
      <c r="D11" s="14" t="s">
        <v>3</v>
      </c>
      <c r="E11" s="1"/>
    </row>
    <row r="12" spans="1:5" x14ac:dyDescent="0.25">
      <c r="A12" s="1"/>
      <c r="B12" s="64" t="s">
        <v>201</v>
      </c>
      <c r="C12" s="65">
        <v>437717</v>
      </c>
      <c r="D12" s="14" t="s">
        <v>3</v>
      </c>
      <c r="E12" s="1"/>
    </row>
    <row r="13" spans="1:5" x14ac:dyDescent="0.25">
      <c r="A13" s="1"/>
      <c r="B13" s="64" t="s">
        <v>202</v>
      </c>
      <c r="C13" s="65">
        <v>969153</v>
      </c>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1616128</v>
      </c>
      <c r="D19" s="13" t="s">
        <v>3</v>
      </c>
      <c r="E19" s="1"/>
    </row>
    <row r="20" spans="1:5" x14ac:dyDescent="0.25">
      <c r="A20" s="1"/>
      <c r="B20" s="52" t="s">
        <v>144</v>
      </c>
      <c r="C20" s="12">
        <f>C19*(1+'Fane 13. Nøgletal'!C11)^2</f>
        <v>1837530.57048832</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EZBTD1G1/cUPIkjaHURRKHrgDmSgTogG1FA3gSIe91c53wOXQS4nh1jgHUghJXZk2+G4ylj4fm1tOARM6qvXFA==" saltValue="lvrdwE3Haqp8YwFov2SRa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172</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1"/>
      <c r="D7" s="1"/>
      <c r="E7" s="1"/>
    </row>
    <row r="8" spans="1:5" x14ac:dyDescent="0.25">
      <c r="A8" s="1"/>
      <c r="B8" s="97" t="s">
        <v>175</v>
      </c>
      <c r="C8" s="98"/>
      <c r="D8" s="99"/>
      <c r="E8" s="1"/>
    </row>
    <row r="9" spans="1:5" x14ac:dyDescent="0.25">
      <c r="A9" s="1"/>
      <c r="B9" s="56" t="s">
        <v>176</v>
      </c>
      <c r="C9" s="9">
        <v>-7929302.6885979101</v>
      </c>
      <c r="D9" s="39" t="s">
        <v>3</v>
      </c>
      <c r="E9" s="1"/>
    </row>
    <row r="10" spans="1:5" x14ac:dyDescent="0.25">
      <c r="A10" s="1"/>
      <c r="B10" s="56" t="s">
        <v>174</v>
      </c>
      <c r="C10" s="9">
        <v>-1869996.3281023093</v>
      </c>
      <c r="D10" s="14" t="s">
        <v>3</v>
      </c>
      <c r="E10" s="1"/>
    </row>
    <row r="11" spans="1:5" x14ac:dyDescent="0.25">
      <c r="A11" s="1"/>
      <c r="B11" s="52"/>
      <c r="C11" s="53"/>
      <c r="D11" s="19"/>
      <c r="E11" s="1"/>
    </row>
    <row r="12" spans="1:5" ht="53.85" customHeight="1" x14ac:dyDescent="0.25">
      <c r="A12" s="1"/>
      <c r="B12" s="106" t="s">
        <v>173</v>
      </c>
      <c r="C12" s="107"/>
      <c r="D12" s="108"/>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-1869996.3281023093</v>
      </c>
      <c r="D15" s="14" t="s">
        <v>3</v>
      </c>
      <c r="E15" s="1"/>
    </row>
    <row r="16" spans="1:5" x14ac:dyDescent="0.25">
      <c r="A16" s="1"/>
      <c r="B16" s="56" t="s">
        <v>185</v>
      </c>
      <c r="C16" s="9">
        <f>IF(SUM(C9)&gt;0,SUM(C9),0)</f>
        <v>0</v>
      </c>
      <c r="D16" s="14" t="s">
        <v>3</v>
      </c>
      <c r="E16" s="1"/>
    </row>
    <row r="17" spans="1:5" ht="26.25" x14ac:dyDescent="0.25">
      <c r="A17" s="1"/>
      <c r="B17" s="71" t="s">
        <v>179</v>
      </c>
      <c r="C17" s="62">
        <f>IF(SUM(C15:C16)&gt;0,0,SUM(C15:C16))</f>
        <v>-1869996.3281023093</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18267587.461000744</v>
      </c>
      <c r="D21" s="14" t="s">
        <v>3</v>
      </c>
      <c r="E21" s="1"/>
    </row>
    <row r="22" spans="1:5" x14ac:dyDescent="0.25">
      <c r="A22" s="1"/>
      <c r="B22" s="56" t="s">
        <v>182</v>
      </c>
      <c r="C22" s="9">
        <v>16801336</v>
      </c>
      <c r="D22" s="14" t="s">
        <v>3</v>
      </c>
      <c r="E22" s="1"/>
    </row>
    <row r="23" spans="1:5" x14ac:dyDescent="0.25">
      <c r="A23" s="1"/>
      <c r="B23" s="56" t="s">
        <v>28</v>
      </c>
      <c r="C23" s="9">
        <v>0</v>
      </c>
      <c r="D23" s="14" t="s">
        <v>3</v>
      </c>
      <c r="E23" s="1"/>
    </row>
    <row r="24" spans="1:5" x14ac:dyDescent="0.25">
      <c r="A24" s="1"/>
      <c r="B24" s="73" t="s">
        <v>183</v>
      </c>
      <c r="C24" s="46">
        <f>C21-C22-C23</f>
        <v>1466251.4610007443</v>
      </c>
      <c r="D24" s="17" t="s">
        <v>3</v>
      </c>
      <c r="E24" s="1"/>
    </row>
    <row r="25" spans="1:5" x14ac:dyDescent="0.25">
      <c r="A25" s="1"/>
      <c r="B25" s="52"/>
      <c r="C25" s="53"/>
      <c r="D25" s="19"/>
      <c r="E25" s="1"/>
    </row>
    <row r="26" spans="1:5" x14ac:dyDescent="0.25">
      <c r="A26" s="1"/>
      <c r="B26" s="1"/>
      <c r="C26" s="1"/>
      <c r="D26" s="1"/>
      <c r="E26" s="1"/>
    </row>
    <row r="27" spans="1:5" x14ac:dyDescent="0.25">
      <c r="A27" s="1"/>
      <c r="B27" s="97" t="s">
        <v>184</v>
      </c>
      <c r="C27" s="98"/>
      <c r="D27" s="99"/>
      <c r="E27" s="1"/>
    </row>
    <row r="28" spans="1:5" x14ac:dyDescent="0.25">
      <c r="A28" s="1"/>
      <c r="B28" s="57" t="s">
        <v>65</v>
      </c>
      <c r="C28" s="9">
        <f>IF(C17&lt;0,IF(C24&lt;0,SUM(C17,C24),IF(C9&gt;0,SUM(C9:C10),C17)),IF(AND(C24&lt;0,SUM(C24,C10)&lt;0),IF(C10&lt;0,C24,IF(SUM(C9:C10)&gt;0,SUM(C24,C10),IF(AND(C24&lt;0,C17=0,C10&gt;0),IF(SUM(C9:C10)&gt;0,C24+C10,C24)))),IF(AND(SUM(C9:C10)&lt;0,C17=0,C24&lt;0),C24,0)))</f>
        <v>-1869996.3281023093</v>
      </c>
      <c r="D28" s="14" t="s">
        <v>3</v>
      </c>
      <c r="E28" s="1"/>
    </row>
    <row r="29" spans="1:5" x14ac:dyDescent="0.25">
      <c r="A29" s="1"/>
      <c r="B29" s="57" t="s">
        <v>48</v>
      </c>
      <c r="C29" s="9">
        <v>2</v>
      </c>
      <c r="D29" s="14" t="s">
        <v>18</v>
      </c>
      <c r="E29" s="1"/>
    </row>
    <row r="30" spans="1:5" x14ac:dyDescent="0.25">
      <c r="A30" s="1"/>
      <c r="B30" s="58" t="s">
        <v>64</v>
      </c>
      <c r="C30" s="10">
        <f>C28/C29</f>
        <v>-934998.16405115463</v>
      </c>
      <c r="D30" s="17" t="s">
        <v>3</v>
      </c>
      <c r="E30" s="1"/>
    </row>
    <row r="31" spans="1:5" x14ac:dyDescent="0.25">
      <c r="A31" s="1"/>
      <c r="B31" s="109"/>
      <c r="C31" s="110"/>
      <c r="D31" s="11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EJ3JIzqZEDoEa0/zvNgfyGFoKtGnu8PNP3jZXJe4LbY2lTjmEvQUQAecFRh6WWaPXJOuIw5HMfup190Dph4dg==" saltValue="MrYZdQjvbXH3f7f3/1TnrA=="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5" t="s">
        <v>96</v>
      </c>
      <c r="C3" s="95"/>
      <c r="D3" s="95"/>
      <c r="E3" s="1"/>
    </row>
    <row r="4" spans="1:5" ht="15" customHeight="1" x14ac:dyDescent="0.25">
      <c r="A4" s="1"/>
      <c r="B4" s="95"/>
      <c r="C4" s="95"/>
      <c r="D4" s="95"/>
      <c r="E4" s="1"/>
    </row>
    <row r="5" spans="1:5" x14ac:dyDescent="0.25">
      <c r="A5" s="1"/>
      <c r="B5" s="95"/>
      <c r="C5" s="95"/>
      <c r="D5" s="95"/>
      <c r="E5" s="1"/>
    </row>
    <row r="6" spans="1:5" x14ac:dyDescent="0.25">
      <c r="A6" s="1"/>
      <c r="B6" s="1"/>
      <c r="C6" s="1"/>
      <c r="D6" s="1"/>
      <c r="E6" s="1"/>
    </row>
    <row r="7" spans="1:5" x14ac:dyDescent="0.25">
      <c r="A7" s="1"/>
      <c r="B7" s="1"/>
      <c r="C7" s="1"/>
      <c r="D7" s="1"/>
      <c r="E7" s="1"/>
    </row>
    <row r="8" spans="1:5" x14ac:dyDescent="0.25">
      <c r="A8" s="1"/>
      <c r="B8" s="97" t="s">
        <v>97</v>
      </c>
      <c r="C8" s="98"/>
      <c r="D8" s="99"/>
      <c r="E8" s="1"/>
    </row>
    <row r="9" spans="1:5" ht="15" customHeight="1" x14ac:dyDescent="0.25">
      <c r="A9" s="1"/>
      <c r="B9" s="112" t="s">
        <v>123</v>
      </c>
      <c r="C9" s="113"/>
      <c r="D9" s="114"/>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dIUtKzMl85+4RRdzcy5MSRPe0GRmh34O6B7IAGvBpFY5t1zDiZsj06FFTjWQqqiDe0PMs+pg05M53A2Cpd19w==" saltValue="4Y5WiFK6AU3squnI4+8eN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3" t="s">
        <v>90</v>
      </c>
      <c r="C3" s="93"/>
      <c r="D3" s="93"/>
      <c r="E3" s="93"/>
      <c r="F3" s="93"/>
      <c r="G3" s="93"/>
      <c r="H3" s="93"/>
      <c r="I3" s="93"/>
      <c r="J3" s="93"/>
      <c r="K3" s="93"/>
      <c r="L3" s="1"/>
    </row>
    <row r="4" spans="1:12" ht="15" customHeight="1" x14ac:dyDescent="0.25">
      <c r="A4" s="1"/>
      <c r="B4" s="93"/>
      <c r="C4" s="93"/>
      <c r="D4" s="93"/>
      <c r="E4" s="93"/>
      <c r="F4" s="93"/>
      <c r="G4" s="93"/>
      <c r="H4" s="93"/>
      <c r="I4" s="93"/>
      <c r="J4" s="93"/>
      <c r="K4" s="9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7" t="s">
        <v>74</v>
      </c>
      <c r="C8" s="98"/>
      <c r="D8" s="98"/>
      <c r="E8" s="98"/>
      <c r="F8" s="98"/>
      <c r="G8" s="98"/>
      <c r="H8" s="98"/>
      <c r="I8" s="98"/>
      <c r="J8" s="98"/>
      <c r="K8" s="99"/>
      <c r="L8" s="1"/>
    </row>
    <row r="9" spans="1:12" ht="39.75" customHeight="1" x14ac:dyDescent="0.25">
      <c r="A9" s="1"/>
      <c r="B9" s="18" t="s">
        <v>0</v>
      </c>
      <c r="C9" s="18" t="s">
        <v>1</v>
      </c>
      <c r="D9" s="115" t="s">
        <v>83</v>
      </c>
      <c r="E9" s="116"/>
      <c r="F9" s="115" t="s">
        <v>2</v>
      </c>
      <c r="G9" s="116"/>
      <c r="H9" s="115" t="s">
        <v>84</v>
      </c>
      <c r="I9" s="116"/>
      <c r="J9" s="115" t="s">
        <v>25</v>
      </c>
      <c r="K9" s="116"/>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heYwhJjgY+8prMI29icj4OHhSrLWI86fovFIMvXAbBx1e6p4WYEYEUYSECzCizmnM12uEopgbvSES5H/deXm5A==" saltValue="2MmCk7JGp5Ls4XVqKn2Bo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91</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203</v>
      </c>
      <c r="C11" s="21">
        <v>9985.8700000000008</v>
      </c>
      <c r="D11" s="14" t="s">
        <v>3</v>
      </c>
      <c r="E11" s="9">
        <v>468928.16</v>
      </c>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9985.8700000000008</v>
      </c>
      <c r="D17" s="13" t="s">
        <v>3</v>
      </c>
      <c r="E17" s="12">
        <f>SUM(E10:E16)</f>
        <v>468928.16</v>
      </c>
      <c r="F17" s="13" t="s">
        <v>3</v>
      </c>
      <c r="G17" s="1"/>
    </row>
    <row r="18" spans="1:7" x14ac:dyDescent="0.25">
      <c r="A18" s="1"/>
      <c r="B18" s="52" t="s">
        <v>147</v>
      </c>
      <c r="C18" s="12">
        <f>C17*(1+'Fane 13. Nøgletal'!C11)</f>
        <v>10647.933181</v>
      </c>
      <c r="D18" s="13" t="s">
        <v>3</v>
      </c>
      <c r="E18" s="12">
        <f>E17*(1+'Fane 13. Nøgletal'!C11)</f>
        <v>500018.09700800001</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z+T36KCIIGLyQGgh96fj9LccBU7t0zkCoUiPN6OwZRR5I7n54fc03r3yabQp752vIRx3T0GMj8NM1Mk0WBcrqA==" saltValue="DDWCmiUKNnPJuHQpQaKkN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92</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7" t="s">
        <v>150</v>
      </c>
      <c r="C8" s="98"/>
      <c r="D8" s="98"/>
      <c r="E8" s="98"/>
      <c r="F8" s="99"/>
      <c r="G8" s="1"/>
    </row>
    <row r="9" spans="1:7" x14ac:dyDescent="0.25">
      <c r="A9" s="1"/>
      <c r="B9" s="71" t="s">
        <v>15</v>
      </c>
      <c r="C9" s="73" t="s">
        <v>10</v>
      </c>
      <c r="D9" s="74"/>
      <c r="E9" s="73" t="s">
        <v>26</v>
      </c>
      <c r="F9" s="27"/>
      <c r="G9" s="1"/>
    </row>
    <row r="10" spans="1:7" x14ac:dyDescent="0.25">
      <c r="A10" s="1"/>
      <c r="B10" s="23" t="s">
        <v>204</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zXjAA0T3yiSWUitdKR0PQBK9OmfO71SX6Wpyr5DylwYeY8tRAn0FxZy97A02JSVK5gMFRa9zvGaUVoRHZWXBw==" saltValue="F+VHWF74SvLCJmHpuA83Dg=="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93</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x14ac:dyDescent="0.25">
      <c r="A7" s="1"/>
      <c r="B7" s="1"/>
      <c r="C7" s="1"/>
      <c r="D7" s="1"/>
      <c r="E7" s="1"/>
      <c r="F7" s="1"/>
      <c r="G7" s="1"/>
    </row>
    <row r="8" spans="1:7" x14ac:dyDescent="0.25">
      <c r="A8" s="1"/>
      <c r="B8" s="97" t="s">
        <v>59</v>
      </c>
      <c r="C8" s="98"/>
      <c r="D8" s="98"/>
      <c r="E8" s="98"/>
      <c r="F8" s="99"/>
      <c r="G8" s="1"/>
    </row>
    <row r="9" spans="1:7" ht="15" customHeight="1" x14ac:dyDescent="0.25">
      <c r="A9" s="1"/>
      <c r="B9" s="54" t="s">
        <v>60</v>
      </c>
      <c r="C9" s="117" t="s">
        <v>10</v>
      </c>
      <c r="D9" s="118"/>
      <c r="E9" s="117" t="s">
        <v>26</v>
      </c>
      <c r="F9" s="118"/>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rJ9z6UsJ2SoCC8hNGC9O+kgtVw12tQxO9Hh3qQFtfg9KmyV43YDSrWmzvKXD4BMC8w0e4dbhCcXVwhqjcnyIQ==" saltValue="E9S+S2h8smkJcP++10syMg=="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94</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7" t="s">
        <v>152</v>
      </c>
      <c r="C8" s="98"/>
      <c r="D8" s="98"/>
      <c r="E8" s="98"/>
      <c r="F8" s="99"/>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D1nOG2LwTnRSTXx42R3Y+EslWofvcR6G4AjnP8mxkeSaZYg8eWNxaNq+9q/UYFCEIqzgjwm5Yazh6h3tm1uTw==" saltValue="r5efKutkEx74Ia1pZcLHs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5" t="s">
        <v>95</v>
      </c>
      <c r="C3" s="95"/>
      <c r="D3" s="1"/>
    </row>
    <row r="4" spans="1:4" ht="15" customHeight="1" x14ac:dyDescent="0.25">
      <c r="A4" s="1"/>
      <c r="B4" s="95"/>
      <c r="C4" s="95"/>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196</v>
      </c>
      <c r="C11" s="49">
        <v>6.6299999999999998E-2</v>
      </c>
      <c r="D11" s="1"/>
    </row>
    <row r="12" spans="1:4" x14ac:dyDescent="0.25">
      <c r="A12" s="1"/>
      <c r="B12" s="97"/>
      <c r="C12" s="99"/>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197</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b21xCC9yK6Tgfdas1QLxueRPNsyOeQhOI7Mt8gYKzDZAmygf+l9WwEhZ3SbQ4GrnLciXN5xvByRGXcUdefrxvg==" saltValue="ZgYJyuMkTVlyQeTgcM7ax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128</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22800902.585502092</v>
      </c>
      <c r="D9" s="8" t="s">
        <v>3</v>
      </c>
      <c r="E9" s="1"/>
    </row>
    <row r="10" spans="1:5" ht="17.100000000000001" customHeight="1" x14ac:dyDescent="0.25">
      <c r="A10" s="1"/>
      <c r="B10" s="24" t="s">
        <v>32</v>
      </c>
      <c r="C10" s="7">
        <f>'Fane 10.1. Varige tillæg'!C18</f>
        <v>10647.933181</v>
      </c>
      <c r="D10" s="8" t="s">
        <v>3</v>
      </c>
      <c r="E10" s="1"/>
    </row>
    <row r="11" spans="1:5" ht="17.100000000000001" customHeight="1" x14ac:dyDescent="0.25">
      <c r="A11" s="1"/>
      <c r="B11" s="24" t="s">
        <v>33</v>
      </c>
      <c r="C11" s="9">
        <f>'Fane 10.1. Varige tillæg'!E18</f>
        <v>500018.09700800001</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1545556.9992203193</v>
      </c>
      <c r="D16" s="8" t="s">
        <v>3</v>
      </c>
      <c r="E16" s="1"/>
    </row>
    <row r="17" spans="1:5" ht="17.100000000000001" customHeight="1" x14ac:dyDescent="0.25">
      <c r="A17" s="1"/>
      <c r="B17" s="24" t="s">
        <v>9</v>
      </c>
      <c r="C17" s="9">
        <f>-SUM(C9:C16)*'Fane 5. Individuelt eff. krav'!C9</f>
        <v>0</v>
      </c>
      <c r="D17" s="8" t="s">
        <v>3</v>
      </c>
      <c r="E17" s="1"/>
    </row>
    <row r="18" spans="1:5" ht="17.100000000000001" customHeight="1" x14ac:dyDescent="0.25">
      <c r="A18" s="1"/>
      <c r="B18" s="24" t="s">
        <v>21</v>
      </c>
      <c r="C18" s="9">
        <f>-'Fane 4.1. Gen. krav - drift'!C17</f>
        <v>-321425.53274832753</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24535700.082163084</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1837530.57048832</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-934998.16405115463</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25438232.488600247</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CsBJdP7hu7bUq6qjaunGieUK1+mbi2rg2e6iFXYss3lRiHmXaMZ3D/0KT/Wq82EYVUB8MpoHeToKCS4lHQOSw==" saltValue="DAxSmsGRz/yDGgZa/w5v0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129</v>
      </c>
      <c r="C3" s="93"/>
      <c r="D3" s="93"/>
      <c r="E3" s="1"/>
    </row>
    <row r="4" spans="1:5" ht="15" customHeight="1" x14ac:dyDescent="0.25">
      <c r="A4" s="1"/>
      <c r="B4" s="93"/>
      <c r="C4" s="93"/>
      <c r="D4" s="93"/>
      <c r="E4" s="1"/>
    </row>
    <row r="5" spans="1:5" x14ac:dyDescent="0.25">
      <c r="A5" s="1"/>
      <c r="B5" s="94"/>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24535700.082163084</v>
      </c>
      <c r="D9" s="8" t="s">
        <v>3</v>
      </c>
      <c r="E9" s="1"/>
    </row>
    <row r="10" spans="1:5" ht="15" customHeight="1" x14ac:dyDescent="0.25">
      <c r="A10" s="1"/>
      <c r="B10" s="47" t="s">
        <v>17</v>
      </c>
      <c r="C10" s="41">
        <f>C9*'Fane 13. Nøgletal'!C11</f>
        <v>1626716.9154474125</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drift'!C22</f>
        <v>-335881.32465815084</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25826535.672952347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1959358.8473116956</v>
      </c>
      <c r="D16" s="11" t="s">
        <v>3</v>
      </c>
      <c r="E16" s="1"/>
    </row>
    <row r="17" spans="1:5" x14ac:dyDescent="0.25">
      <c r="A17" s="1"/>
      <c r="B17" s="25" t="s">
        <v>65</v>
      </c>
      <c r="C17" s="53"/>
      <c r="D17" s="19"/>
      <c r="E17" s="1"/>
    </row>
    <row r="18" spans="1:5" ht="15" customHeight="1" x14ac:dyDescent="0.25">
      <c r="A18" s="1"/>
      <c r="B18" s="45" t="s">
        <v>66</v>
      </c>
      <c r="C18" s="10">
        <f>'Fane 7. Kontrol af ØR2023'!C30</f>
        <v>-934998.16405115463</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26850896.356212884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HoGm3P13bf97Rzh2SJXMjlYt58llCukVg1Ngmnbo90ip4WXlNnke+WjLUz4IUz2HxPz0cHm7MrincsQ7G5sVA==" saltValue="OzMsoyZ8D2V79W6F5eLBN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130</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25826535.672952347</v>
      </c>
      <c r="D9" s="8" t="s">
        <v>3</v>
      </c>
      <c r="E9" s="1"/>
    </row>
    <row r="10" spans="1:5" ht="15" customHeight="1" x14ac:dyDescent="0.25">
      <c r="A10" s="1"/>
      <c r="B10" s="47" t="s">
        <v>17</v>
      </c>
      <c r="C10" s="41">
        <f>C9*'Fane 13. Nøgletal'!C11</f>
        <v>1712299.3151167405</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drift'!C27</f>
        <v>-350987.25135332654</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27187847.73671576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2089264.338888461</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29277112.075604223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AkETGM8e/qp9o7nsWpIDntJxdxuvOfX6kT0+sK/tXRGY4BVuZgAA0ycU/YIqWtimYIAQy/phf+rvLiWilK+8A==" saltValue="Z/Rn8WbnvTpxBDAvLylQg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131</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27187847.73671576</v>
      </c>
      <c r="D9" s="8" t="s">
        <v>3</v>
      </c>
      <c r="E9" s="1"/>
    </row>
    <row r="10" spans="1:5" ht="15" customHeight="1" x14ac:dyDescent="0.25">
      <c r="A10" s="1"/>
      <c r="B10" s="47" t="s">
        <v>17</v>
      </c>
      <c r="C10" s="9">
        <f>C9*'Fane 13. Nøgletal'!C11</f>
        <v>1802554.3049442549</v>
      </c>
      <c r="D10" s="8" t="s">
        <v>3</v>
      </c>
      <c r="E10" s="1"/>
    </row>
    <row r="11" spans="1:5" ht="15" customHeight="1" x14ac:dyDescent="0.25">
      <c r="A11" s="1"/>
      <c r="B11" s="47" t="s">
        <v>9</v>
      </c>
      <c r="C11" s="9">
        <f>-SUM(C9:C10)*'Fane 5. Individuelt eff. krav'!C9</f>
        <v>0</v>
      </c>
      <c r="D11" s="8" t="s">
        <v>3</v>
      </c>
      <c r="E11" s="1"/>
    </row>
    <row r="12" spans="1:5" ht="15" customHeight="1" x14ac:dyDescent="0.25">
      <c r="A12" s="1"/>
      <c r="B12" s="47" t="s">
        <v>21</v>
      </c>
      <c r="C12" s="9">
        <f>-'Fane 4.1. Gen. krav - drift'!C32</f>
        <v>-366772.55199569097</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28623629.489664324</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2227782.5645567663</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30851412.05422109</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PQP8QI7wQ3rCX3Fro0ODVk+HO8DdfcmRW5xexGxfbPAKUkXohmmiMffcTN0bL0BFQSFZd9Ho77kBMEiM9sBFg==" saltValue="2epzv9kVZYPRPn0+5SryD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5" t="s">
        <v>134</v>
      </c>
      <c r="C3" s="95"/>
      <c r="D3" s="95"/>
      <c r="E3" s="1"/>
    </row>
    <row r="4" spans="1:5" ht="15" customHeight="1" x14ac:dyDescent="0.25">
      <c r="A4" s="1"/>
      <c r="B4" s="95"/>
      <c r="C4" s="95"/>
      <c r="D4" s="95"/>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22460310.789572693</v>
      </c>
      <c r="D9" s="8" t="s">
        <v>3</v>
      </c>
      <c r="E9" s="1"/>
    </row>
    <row r="10" spans="1:5" x14ac:dyDescent="0.25">
      <c r="A10" s="1"/>
      <c r="B10" s="24" t="s">
        <v>32</v>
      </c>
      <c r="C10" s="7">
        <v>0</v>
      </c>
      <c r="D10" s="8" t="s">
        <v>3</v>
      </c>
      <c r="E10" s="1"/>
    </row>
    <row r="11" spans="1:5" ht="15" customHeight="1" x14ac:dyDescent="0.25">
      <c r="A11" s="1"/>
      <c r="B11" s="24" t="s">
        <v>33</v>
      </c>
      <c r="C11" s="9">
        <v>73028.051444320008</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805487.73066548898</v>
      </c>
      <c r="D16" s="8" t="s">
        <v>3</v>
      </c>
      <c r="E16" s="1"/>
    </row>
    <row r="17" spans="1:5" x14ac:dyDescent="0.25">
      <c r="A17" s="1"/>
      <c r="B17" s="24" t="s">
        <v>9</v>
      </c>
      <c r="C17" s="9">
        <v>-230549.39607070159</v>
      </c>
      <c r="D17" s="8" t="s">
        <v>3</v>
      </c>
      <c r="E17" s="1"/>
    </row>
    <row r="18" spans="1:5" x14ac:dyDescent="0.25">
      <c r="A18" s="1"/>
      <c r="B18" s="24" t="s">
        <v>21</v>
      </c>
      <c r="C18" s="9">
        <v>-307374.59010971518</v>
      </c>
      <c r="D18" s="8" t="s">
        <v>3</v>
      </c>
      <c r="E18" s="1"/>
    </row>
    <row r="19" spans="1:5" x14ac:dyDescent="0.25">
      <c r="A19" s="1"/>
      <c r="B19" s="24" t="s">
        <v>22</v>
      </c>
      <c r="C19" s="9">
        <v>0</v>
      </c>
      <c r="D19" s="8" t="s">
        <v>3</v>
      </c>
      <c r="E19" s="1"/>
    </row>
    <row r="20" spans="1:5" x14ac:dyDescent="0.25">
      <c r="A20" s="1"/>
      <c r="B20" s="73" t="s">
        <v>19</v>
      </c>
      <c r="C20" s="10">
        <v>22800902.585502092</v>
      </c>
      <c r="D20" s="11" t="s">
        <v>3</v>
      </c>
      <c r="E20" s="1"/>
    </row>
    <row r="21" spans="1:5" x14ac:dyDescent="0.25">
      <c r="A21" s="1"/>
      <c r="B21" s="52" t="s">
        <v>11</v>
      </c>
      <c r="C21" s="53"/>
      <c r="D21" s="19"/>
      <c r="E21" s="1"/>
    </row>
    <row r="22" spans="1:5" x14ac:dyDescent="0.25">
      <c r="A22" s="1"/>
      <c r="B22" s="54" t="s">
        <v>11</v>
      </c>
      <c r="C22" s="10">
        <v>1910778.1041663999</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-6705127</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25" t="s">
        <v>193</v>
      </c>
      <c r="C33" s="53"/>
      <c r="D33" s="19"/>
      <c r="E33" s="1"/>
    </row>
    <row r="34" spans="1:5" ht="15.6" customHeight="1" x14ac:dyDescent="0.25">
      <c r="A34" s="1"/>
      <c r="B34" s="58" t="s">
        <v>194</v>
      </c>
      <c r="C34" s="10">
        <v>1397964</v>
      </c>
      <c r="D34" s="11" t="s">
        <v>3</v>
      </c>
      <c r="E34" s="1"/>
    </row>
    <row r="35" spans="1:5" ht="15.6" customHeight="1" x14ac:dyDescent="0.25">
      <c r="A35" s="1"/>
      <c r="B35" s="52" t="s">
        <v>67</v>
      </c>
      <c r="C35" s="29">
        <v>19404517.689668491</v>
      </c>
      <c r="D35" s="19" t="s">
        <v>3</v>
      </c>
      <c r="E35" s="1"/>
    </row>
    <row r="36" spans="1:5" ht="30" customHeight="1" x14ac:dyDescent="0.25">
      <c r="A36" s="1"/>
      <c r="B36" s="96" t="s">
        <v>195</v>
      </c>
      <c r="C36" s="96"/>
      <c r="D36" s="96"/>
      <c r="E36" s="1"/>
    </row>
    <row r="37" spans="1:5" ht="27.75" customHeight="1"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E3vwyDcbcQdHzQCviaZiZI/pJyCNE0t4IPQmuZEYEMzKnVf4ggrcWdtio6rprLIfx/e4Rr70Thqr5+plxKAnOg==" saltValue="6bRRBDu0NWq3bVph2fyr5A=="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5" t="s">
        <v>53</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32"/>
      <c r="D7" s="1"/>
      <c r="E7" s="1"/>
    </row>
    <row r="8" spans="1:5" x14ac:dyDescent="0.25">
      <c r="A8" s="1"/>
      <c r="B8" s="97" t="s">
        <v>75</v>
      </c>
      <c r="C8" s="98"/>
      <c r="D8" s="99"/>
      <c r="E8" s="1"/>
    </row>
    <row r="9" spans="1:5" x14ac:dyDescent="0.25">
      <c r="A9" s="1"/>
      <c r="B9" s="56" t="s">
        <v>167</v>
      </c>
      <c r="C9" s="22">
        <v>15368729.505485758</v>
      </c>
      <c r="D9" s="14" t="s">
        <v>3</v>
      </c>
      <c r="E9" s="1"/>
    </row>
    <row r="10" spans="1:5" x14ac:dyDescent="0.25">
      <c r="A10" s="1"/>
      <c r="B10" s="56" t="s">
        <v>110</v>
      </c>
      <c r="C10" s="22">
        <f>('Fane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307374.59010971518</v>
      </c>
      <c r="D11" s="14" t="s">
        <v>3</v>
      </c>
      <c r="E11" s="1"/>
    </row>
    <row r="12" spans="1:5" x14ac:dyDescent="0.25">
      <c r="A12" s="1"/>
      <c r="B12" s="52"/>
      <c r="C12" s="31"/>
      <c r="D12" s="19"/>
      <c r="E12" s="1"/>
    </row>
    <row r="13" spans="1:5" x14ac:dyDescent="0.25">
      <c r="A13" s="1"/>
      <c r="B13" s="1"/>
      <c r="C13" s="32"/>
      <c r="D13" s="1"/>
      <c r="E13" s="1"/>
    </row>
    <row r="14" spans="1:5" x14ac:dyDescent="0.25">
      <c r="A14" s="1"/>
      <c r="B14" s="97" t="s">
        <v>153</v>
      </c>
      <c r="C14" s="98"/>
      <c r="D14" s="99"/>
      <c r="E14" s="1"/>
    </row>
    <row r="15" spans="1:5" x14ac:dyDescent="0.25">
      <c r="A15" s="1"/>
      <c r="B15" s="56" t="s">
        <v>168</v>
      </c>
      <c r="C15" s="22">
        <f>(C9+C10-C11)*(1+'Fane 13. Nøgletal'!C11)</f>
        <v>16059922.746265475</v>
      </c>
      <c r="D15" s="14" t="s">
        <v>3</v>
      </c>
      <c r="E15" s="1"/>
    </row>
    <row r="16" spans="1:5" x14ac:dyDescent="0.25">
      <c r="A16" s="1"/>
      <c r="B16" s="56" t="s">
        <v>154</v>
      </c>
      <c r="C16" s="22">
        <f>('Fane 2.1. Økonomisk ramme 2025'!C10+'Fane 2.1. Økonomisk ramme 2025'!C12+'Fane 2.1. Økonomisk ramme 2025'!C14)*(1+'Fane 13. Nøgletal'!C11)</f>
        <v>11353.891150900301</v>
      </c>
      <c r="D16" s="14" t="s">
        <v>3</v>
      </c>
      <c r="E16" s="1"/>
    </row>
    <row r="17" spans="1:5" x14ac:dyDescent="0.25">
      <c r="A17" s="1"/>
      <c r="B17" s="56" t="s">
        <v>155</v>
      </c>
      <c r="C17" s="22">
        <f>(C15+C16)*'Fane 13. Nøgletal'!C23</f>
        <v>321425.53274832753</v>
      </c>
      <c r="D17" s="14" t="s">
        <v>3</v>
      </c>
      <c r="E17" s="1"/>
    </row>
    <row r="18" spans="1:5" x14ac:dyDescent="0.25">
      <c r="A18" s="1"/>
      <c r="B18" s="52"/>
      <c r="C18" s="31"/>
      <c r="D18" s="19"/>
      <c r="E18" s="1"/>
    </row>
    <row r="19" spans="1:5" x14ac:dyDescent="0.25">
      <c r="A19" s="1"/>
      <c r="B19" s="1"/>
      <c r="C19" s="32"/>
      <c r="D19" s="1"/>
      <c r="E19" s="1"/>
    </row>
    <row r="20" spans="1:5" x14ac:dyDescent="0.25">
      <c r="A20" s="1"/>
      <c r="B20" s="97" t="s">
        <v>170</v>
      </c>
      <c r="C20" s="98"/>
      <c r="D20" s="99"/>
      <c r="E20" s="1"/>
    </row>
    <row r="21" spans="1:5" x14ac:dyDescent="0.25">
      <c r="A21" s="1"/>
      <c r="B21" s="56" t="s">
        <v>169</v>
      </c>
      <c r="C21" s="48">
        <f>(C15+C16-C17)*(1+'Fane 13. Nøgletal'!C11)</f>
        <v>16794066.232907541</v>
      </c>
      <c r="D21" s="14" t="s">
        <v>3</v>
      </c>
      <c r="E21" s="1"/>
    </row>
    <row r="22" spans="1:5" x14ac:dyDescent="0.25">
      <c r="A22" s="1"/>
      <c r="B22" s="56" t="s">
        <v>171</v>
      </c>
      <c r="C22" s="48">
        <f>(C21)*'Fane 13. Nøgletal'!C23</f>
        <v>335881.32465815084</v>
      </c>
      <c r="D22" s="14" t="s">
        <v>3</v>
      </c>
      <c r="E22" s="1"/>
    </row>
    <row r="23" spans="1:5" x14ac:dyDescent="0.25">
      <c r="A23" s="1"/>
      <c r="B23" s="52"/>
      <c r="C23" s="31"/>
      <c r="D23" s="19"/>
      <c r="E23" s="1"/>
    </row>
    <row r="24" spans="1:5" x14ac:dyDescent="0.25">
      <c r="A24" s="1"/>
      <c r="B24" s="1"/>
      <c r="C24" s="32"/>
      <c r="D24" s="1"/>
      <c r="E24" s="1"/>
    </row>
    <row r="25" spans="1:5" x14ac:dyDescent="0.25">
      <c r="A25" s="1"/>
      <c r="B25" s="97" t="s">
        <v>116</v>
      </c>
      <c r="C25" s="98"/>
      <c r="D25" s="99"/>
      <c r="E25" s="1"/>
    </row>
    <row r="26" spans="1:5" x14ac:dyDescent="0.25">
      <c r="A26" s="1"/>
      <c r="B26" s="56" t="s">
        <v>117</v>
      </c>
      <c r="C26" s="48">
        <f>(C21-C22)*(1+'Fane 13. Nøgletal'!C11)</f>
        <v>17549362.567666326</v>
      </c>
      <c r="D26" s="14" t="s">
        <v>3</v>
      </c>
      <c r="E26" s="1"/>
    </row>
    <row r="27" spans="1:5" x14ac:dyDescent="0.25">
      <c r="A27" s="1"/>
      <c r="B27" s="56" t="s">
        <v>118</v>
      </c>
      <c r="C27" s="48">
        <f>(C26)*'Fane 13. Nøgletal'!C23</f>
        <v>350987.25135332654</v>
      </c>
      <c r="D27" s="14" t="s">
        <v>3</v>
      </c>
      <c r="E27" s="1"/>
    </row>
    <row r="28" spans="1:5" x14ac:dyDescent="0.25">
      <c r="A28" s="1"/>
      <c r="B28" s="52"/>
      <c r="C28" s="42"/>
      <c r="D28" s="19"/>
      <c r="E28" s="1"/>
    </row>
    <row r="29" spans="1:5" x14ac:dyDescent="0.25">
      <c r="A29" s="1"/>
      <c r="B29" s="1"/>
      <c r="C29" s="32"/>
      <c r="D29" s="1"/>
      <c r="E29" s="1"/>
    </row>
    <row r="30" spans="1:5" x14ac:dyDescent="0.25">
      <c r="A30" s="1"/>
      <c r="B30" s="97" t="s">
        <v>136</v>
      </c>
      <c r="C30" s="98"/>
      <c r="D30" s="99"/>
      <c r="E30" s="1"/>
    </row>
    <row r="31" spans="1:5" x14ac:dyDescent="0.25">
      <c r="A31" s="1"/>
      <c r="B31" s="56" t="s">
        <v>137</v>
      </c>
      <c r="C31" s="48">
        <f>(C26-C27)*(1+'Fane 13. Nøgletal'!C11)</f>
        <v>18338627.599784549</v>
      </c>
      <c r="D31" s="14" t="s">
        <v>3</v>
      </c>
      <c r="E31" s="1"/>
    </row>
    <row r="32" spans="1:5" x14ac:dyDescent="0.25">
      <c r="A32" s="1"/>
      <c r="B32" s="56" t="s">
        <v>138</v>
      </c>
      <c r="C32" s="48">
        <f>(C31)*'Fane 13. Nøgletal'!C23</f>
        <v>366772.55199569097</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ZRV0qu8CjpyS05uYi8n8oHRd9pF4L4ezLPmaJ0d/X5d6m+VWwXpaUoEpGPdKyDuHtvMyFa2h/tsmVo0HAGiISA==" saltValue="Jf8nakZ5OiXA/7AREAw5IQ=="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0" t="s">
        <v>54</v>
      </c>
      <c r="C3" s="101"/>
      <c r="D3" s="101"/>
      <c r="E3" s="1"/>
    </row>
    <row r="4" spans="1:5" ht="15" customHeight="1" x14ac:dyDescent="0.25">
      <c r="A4" s="1"/>
      <c r="B4" s="101"/>
      <c r="C4" s="101"/>
      <c r="D4" s="101"/>
      <c r="E4" s="1"/>
    </row>
    <row r="5" spans="1:5" ht="15" customHeight="1" x14ac:dyDescent="0.25">
      <c r="A5" s="1"/>
      <c r="B5" s="101"/>
      <c r="C5" s="101"/>
      <c r="D5" s="101"/>
      <c r="E5" s="1"/>
    </row>
    <row r="6" spans="1:5" ht="15" customHeight="1" x14ac:dyDescent="0.25">
      <c r="A6" s="1"/>
      <c r="B6" s="1"/>
      <c r="C6" s="1"/>
      <c r="D6" s="1"/>
      <c r="E6" s="1"/>
    </row>
    <row r="7" spans="1:5" ht="15" customHeight="1" x14ac:dyDescent="0.25">
      <c r="A7" s="1"/>
      <c r="B7" s="1"/>
      <c r="C7" s="1"/>
      <c r="D7" s="1"/>
      <c r="E7" s="1"/>
    </row>
    <row r="8" spans="1:5" x14ac:dyDescent="0.25">
      <c r="A8" s="1"/>
      <c r="B8" s="97" t="s">
        <v>76</v>
      </c>
      <c r="C8" s="98"/>
      <c r="D8" s="99"/>
      <c r="E8" s="1"/>
    </row>
    <row r="9" spans="1:5" x14ac:dyDescent="0.25">
      <c r="A9" s="1"/>
      <c r="B9" s="56" t="s">
        <v>162</v>
      </c>
      <c r="C9" s="48">
        <v>8439862.1457140129</v>
      </c>
      <c r="D9" s="14" t="s">
        <v>3</v>
      </c>
      <c r="E9" s="1"/>
    </row>
    <row r="10" spans="1:5" x14ac:dyDescent="0.25">
      <c r="A10" s="1"/>
      <c r="B10" s="56" t="s">
        <v>113</v>
      </c>
      <c r="C10" s="48">
        <f>('Fane 3. Omkostninger i ØR2024'!C11+'Fane 3. Omkostninger i ØR2024'!C13+'Fane 3. Omkostninger i ØR2024'!C15)*(1+'Fane 13. Nøgletal'!C10)</f>
        <v>78928.718001021058</v>
      </c>
      <c r="D10" s="14" t="s">
        <v>3</v>
      </c>
      <c r="E10" s="1"/>
    </row>
    <row r="11" spans="1:5" x14ac:dyDescent="0.25">
      <c r="A11" s="1"/>
      <c r="B11" s="56" t="s">
        <v>114</v>
      </c>
      <c r="C11" s="48">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7" t="s">
        <v>156</v>
      </c>
      <c r="C14" s="98"/>
      <c r="D14" s="99"/>
      <c r="E14" s="1"/>
    </row>
    <row r="15" spans="1:5" x14ac:dyDescent="0.25">
      <c r="A15" s="1"/>
      <c r="B15" s="56" t="s">
        <v>163</v>
      </c>
      <c r="C15" s="48">
        <f>(C9+C10-C11)*(1+'Fane 13. Nøgletal'!C11)</f>
        <v>9083586.6979793403</v>
      </c>
      <c r="D15" s="14" t="s">
        <v>3</v>
      </c>
      <c r="E15" s="1"/>
    </row>
    <row r="16" spans="1:5" x14ac:dyDescent="0.25">
      <c r="A16" s="1"/>
      <c r="B16" s="56" t="s">
        <v>157</v>
      </c>
      <c r="C16" s="48">
        <f>('Fane 2.1. Økonomisk ramme 2025'!C11+'Fane 2.1. Økonomisk ramme 2025'!C13+'Fane 2.1. Økonomisk ramme 2025'!C15)*(1+'Fane 13. Nøgletal'!C11)</f>
        <v>533169.29683963046</v>
      </c>
      <c r="D16" s="14" t="s">
        <v>3</v>
      </c>
      <c r="E16" s="1"/>
    </row>
    <row r="17" spans="1:5" x14ac:dyDescent="0.25">
      <c r="A17" s="1"/>
      <c r="B17" s="56" t="s">
        <v>158</v>
      </c>
      <c r="C17" s="48">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7" t="s">
        <v>166</v>
      </c>
      <c r="C20" s="98"/>
      <c r="D20" s="99"/>
      <c r="E20" s="1"/>
    </row>
    <row r="21" spans="1:5" x14ac:dyDescent="0.25">
      <c r="A21" s="1"/>
      <c r="B21" s="56" t="s">
        <v>164</v>
      </c>
      <c r="C21" s="48">
        <f>(C15+C16-C17)*(1+'Fane 13. Nøgletal'!C11)</f>
        <v>10254346.917275468</v>
      </c>
      <c r="D21" s="14" t="s">
        <v>3</v>
      </c>
      <c r="E21" s="1"/>
    </row>
    <row r="22" spans="1:5" x14ac:dyDescent="0.25">
      <c r="A22" s="1"/>
      <c r="B22" s="56" t="s">
        <v>165</v>
      </c>
      <c r="C22" s="48">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7" t="s">
        <v>119</v>
      </c>
      <c r="C25" s="98"/>
      <c r="D25" s="99"/>
      <c r="E25" s="1"/>
    </row>
    <row r="26" spans="1:5" x14ac:dyDescent="0.25">
      <c r="A26" s="1"/>
      <c r="B26" s="56" t="s">
        <v>120</v>
      </c>
      <c r="C26" s="48">
        <f>(C21-C22)*(1+'Fane 13. Nøgletal'!C11)</f>
        <v>10934210.117890831</v>
      </c>
      <c r="D26" s="14" t="s">
        <v>3</v>
      </c>
      <c r="E26" s="1"/>
    </row>
    <row r="27" spans="1:5" x14ac:dyDescent="0.25">
      <c r="A27" s="1"/>
      <c r="B27" s="56" t="s">
        <v>121</v>
      </c>
      <c r="C27" s="48">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7" t="s">
        <v>139</v>
      </c>
      <c r="C30" s="98"/>
      <c r="D30" s="99"/>
      <c r="E30" s="1"/>
    </row>
    <row r="31" spans="1:5" x14ac:dyDescent="0.25">
      <c r="A31" s="1"/>
      <c r="B31" s="56" t="s">
        <v>140</v>
      </c>
      <c r="C31" s="48">
        <f>(C26-C27)*(1+'Fane 13. Nøgletal'!C11)</f>
        <v>11659148.248706993</v>
      </c>
      <c r="D31" s="14" t="s">
        <v>3</v>
      </c>
      <c r="E31" s="1"/>
    </row>
    <row r="32" spans="1:5" x14ac:dyDescent="0.25">
      <c r="A32" s="1"/>
      <c r="B32" s="56" t="s">
        <v>141</v>
      </c>
      <c r="C32" s="48">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9emEa24qJQMKigxA+zErVGZsYjmaPf+ZyjSFVD89hzkaq66Hdkil26LkeGcRkY2lF0TD/VUOGAVlGT+LlSLMg==" saltValue="pAeNmmIQ+i8hor7UuvNUdQ=="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3" t="s">
        <v>41</v>
      </c>
      <c r="C3" s="93"/>
      <c r="D3" s="1"/>
    </row>
    <row r="4" spans="1:4" ht="1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7" t="s">
        <v>9</v>
      </c>
      <c r="C8" s="99"/>
      <c r="D8" s="1"/>
    </row>
    <row r="9" spans="1:4" x14ac:dyDescent="0.25">
      <c r="A9" s="1"/>
      <c r="B9" s="56" t="s">
        <v>160</v>
      </c>
      <c r="C9" s="44">
        <v>0</v>
      </c>
      <c r="D9" s="1"/>
    </row>
    <row r="10" spans="1:4" x14ac:dyDescent="0.25">
      <c r="A10" s="1"/>
      <c r="B10" s="52"/>
      <c r="C10" s="19"/>
      <c r="D10" s="1"/>
    </row>
    <row r="11" spans="1:4" ht="15" customHeight="1" x14ac:dyDescent="0.25">
      <c r="A11" s="1"/>
      <c r="B11" s="102" t="s">
        <v>161</v>
      </c>
      <c r="C11" s="103"/>
      <c r="D11" s="1"/>
    </row>
    <row r="12" spans="1:4" ht="13.5" customHeight="1" x14ac:dyDescent="0.25">
      <c r="A12" s="1"/>
      <c r="B12" s="104"/>
      <c r="C12" s="10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jlIrYudcJPAukZo3NgSEc340Ojm6ksYrtlLI9FXUWFxiBPUpvsWiCw/xGKqM0ZOOzsj1DwCZREcf5VjwClfm7Q==" saltValue="VnGd/ATvOBmxVz1qFH9dgA=="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2024-09-10T08:28:09Z</dcterms:modified>
</cp:coreProperties>
</file>