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Herning Vand AS (V080)\ØR2024\"/>
    </mc:Choice>
  </mc:AlternateContent>
  <xr:revisionPtr revIDLastSave="0" documentId="13_ncr:1_{EEA89839-DF00-44F9-AC91-48310F0E255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2" l="1"/>
  <c r="E31" i="42" s="1"/>
  <c r="E33" i="42" s="1"/>
  <c r="E27" i="42" l="1"/>
  <c r="C29" i="2"/>
  <c r="C17" i="22" l="1"/>
  <c r="C17" i="15"/>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<sst xmlns="http://schemas.openxmlformats.org/spreadsheetml/2006/main" count="546" uniqueCount="259">
  <si>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</si>
  <si>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</si>
  <si>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</si>
  <si>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</si>
  <si>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</si>
  <si>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</si>
  <si>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</si>
  <si>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</si>
  <si>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</si>
  <si>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</si>
  <si>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</si>
  <si>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</si>
  <si>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</si>
  <si>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</si>
  <si>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</si>
  <si>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</si>
  <si>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</si>
  <si>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</si>
  <si>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</si>
  <si>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</si>
  <si>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</si>
  <si>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</si>
  <si>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</si>
  <si>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</si>
  <si>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</si>
  <si>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</si>
  <si>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</si>
  <si>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</si>
  <si>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</si>
  <si>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</si>
  <si>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</si>
  <si>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</si>
  <si>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</si>
  <si>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</si>
  <si>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</si>
  <si>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</si>
  <si>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</si>
  <si>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</si>
  <si>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</si>
  <si>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</si>
  <si>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</si>
  <si>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</si>
  <si>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</si>
  <si>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</si>
  <si>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</si>
  <si>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</si>
  <si>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</si>
  <si>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</si>
  <si>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</si>
  <si>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</si>
  <si>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</si>
  <si>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</si>
  <si>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</si>
  <si>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</si>
  <si>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</si>
  <si>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</si>
  <si>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</si>
  <si>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</si>
  <si>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</si>
  <si>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</si>
  <si>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</si>
  <si>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</si>
  <si>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</si>
  <si>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</si>
  <si>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</si>
  <si>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</si>
  <si>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</si>
  <si>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</si>
  <si>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</si>
  <si>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</si>
  <si>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</si>
  <si>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</si>
  <si>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</si>
  <si>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</si>
  <si>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</si>
  <si>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</si>
  <si>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</si>
  <si>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</si>
  <si>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</si>
  <si>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</si>
  <si>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</si>
  <si>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</si>
  <si>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</si>
  <si>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</si>
  <si>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</si>
  <si>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</si>
  <si>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</si>
  <si>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</si>
  <si>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</si>
  <si>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</si>
  <si>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</si>
  <si>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</si>
  <si>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</si>
  <si>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</si>
  <si>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</si>
  <si>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</si>
  <si>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</si>
  <si>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</si>
  <si>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</si>
  <si>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</si>
  <si>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</si>
  <si>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</si>
  <si>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</si>
  <si>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</si>
  <si>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</si>
  <si>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</si>
  <si>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</si>
  <si>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</si>
  <si>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</si>
  <si>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</si>
  <si>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</si>
  <si>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</si>
  <si>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</si>
  <si>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</si>
  <si>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</si>
  <si>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</si>
  <si>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</si>
  <si>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</si>
  <si>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</si>
  <si>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</si>
  <si>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</si>
  <si>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</si>
  <si>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</si>
  <si>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</si>
  <si>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</si>
  <si>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</si>
  <si>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</si>
  <si>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</si>
  <si>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</si>
  <si>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</si>
  <si>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</si>
  <si>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</si>
  <si>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</si>
  <si>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</si>
  <si>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</si>
  <si>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</si>
  <si>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</si>
  <si>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</si>
  <si>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</si>
  <si>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</si>
  <si>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</si>
  <si>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</si>
  <si>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</si>
  <si>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</si>
  <si>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</si>
  <si>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</si>
  <si>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</si>
  <si>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</si>
  <si>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</si>
  <si>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</si>
  <si>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</si>
  <si>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</si>
  <si>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</si>
  <si>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</si>
  <si>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</si>
  <si>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</si>
  <si>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</si>
  <si>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</si>
  <si>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</si>
  <si>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</si>
  <si>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</si>
  <si>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</si>
  <si>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</si>
  <si>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</si>
  <si>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</si>
  <si>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</si>
  <si>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</si>
  <si>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</si>
  <si>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</si>
  <si>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</si>
  <si>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</si>
  <si>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</si>
  <si>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</si>
  <si>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</si>
  <si>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</si>
  <si>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</si>
  <si>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</si>
  <si>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</si>
  <si>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</si>
  <si>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</si>
  <si>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</si>
  <si>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</si>
  <si>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</si>
  <si>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</si>
  <si>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</si>
  <si>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</si>
  <si>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</si>
  <si>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</si>
  <si>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</si>
  <si>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</si>
  <si>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</si>
  <si>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</si>
  <si>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</si>
  <si>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</si>
  <si>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</si>
  <si>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</si>
  <si>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</si>
  <si>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</si>
  <si>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</si>
  <si>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</si>
  <si>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</si>
  <si>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</si>
  <si>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</si>
  <si>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</si>
  <si>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</si>
  <si>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</si>
  <si>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</si>
  <si>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</si>
  <si>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</si>
  <si>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</si>
  <si>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</si>
  <si>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</si>
  <si>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</si>
  <si>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</si>
  <si>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</si>
  <si>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</si>
  <si>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</si>
  <si>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</si>
  <si>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</si>
  <si>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</si>
  <si>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</si>
  <si>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</si>
  <si>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</si>
  <si>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</si>
  <si>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</si>
  <si>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</si>
  <si>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</si>
  <si>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</si>
  <si>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</si>
  <si>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</si>
  <si>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</si>
  <si>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</si>
  <si>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</si>
  <si>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</si>
  <si>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</si>
  <si>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</si>
  <si>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</si>
  <si>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</si>
  <si>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</si>
  <si>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</si>
  <si>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</si>
  <si>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</si>
  <si>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</si>
  <si>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</si>
  <si>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</si>
  <si>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Erstatninger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</si>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</sst>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10" fontId="8" fillId="0" borderId="0" xfId="0"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70" zoomScaleNormal="100" zoomScalePageLayoutView="7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3" t="s">
        <v>235</v>
      </c>
      <c r="E8" s="93"/>
      <c r="F8" s="93"/>
      <c r="G8" s="9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2" t="s">
        <v>5</v>
      </c>
      <c r="E11" s="92"/>
      <c r="F11" s="92"/>
      <c r="G11" s="92"/>
      <c r="H11" s="5"/>
      <c r="I11" s="1"/>
    </row>
    <row r="12" spans="1:9" x14ac:dyDescent="0.25">
      <c r="A12" s="1"/>
      <c r="B12" s="1"/>
      <c r="C12" s="1"/>
      <c r="D12" s="1"/>
      <c r="E12" s="1"/>
      <c r="F12" s="1"/>
      <c r="G12" s="1"/>
      <c r="H12" s="1"/>
      <c r="I12" s="1"/>
    </row>
    <row r="13" spans="1:9" x14ac:dyDescent="0.25">
      <c r="A13" s="1"/>
      <c r="B13" s="1"/>
      <c r="C13" s="6" t="s">
        <v>6</v>
      </c>
      <c r="D13" s="88" t="s">
        <v>162</v>
      </c>
      <c r="E13" s="89"/>
      <c r="F13" s="89"/>
      <c r="G13" s="90"/>
      <c r="H13" s="1"/>
      <c r="I13" s="1"/>
    </row>
    <row r="14" spans="1:9" x14ac:dyDescent="0.25">
      <c r="A14" s="1"/>
      <c r="B14" s="1"/>
      <c r="C14" s="6" t="s">
        <v>14</v>
      </c>
      <c r="D14" s="88" t="s">
        <v>197</v>
      </c>
      <c r="E14" s="89"/>
      <c r="F14" s="89"/>
      <c r="G14" s="90"/>
      <c r="H14" s="1"/>
      <c r="I14" s="1"/>
    </row>
    <row r="15" spans="1:9" x14ac:dyDescent="0.25">
      <c r="A15" s="1"/>
      <c r="B15" s="1"/>
      <c r="C15" s="6" t="s">
        <v>30</v>
      </c>
      <c r="D15" s="88" t="s">
        <v>141</v>
      </c>
      <c r="E15" s="89"/>
      <c r="F15" s="89"/>
      <c r="G15" s="90"/>
      <c r="H15" s="1"/>
      <c r="I15" s="1"/>
    </row>
    <row r="16" spans="1:9" x14ac:dyDescent="0.25">
      <c r="A16" s="1"/>
      <c r="B16" s="1"/>
      <c r="C16" s="6" t="s">
        <v>31</v>
      </c>
      <c r="D16" s="88" t="s">
        <v>194</v>
      </c>
      <c r="E16" s="89"/>
      <c r="F16" s="89"/>
      <c r="G16" s="90"/>
      <c r="H16" s="1"/>
      <c r="I16" s="1"/>
    </row>
    <row r="17" spans="1:9" x14ac:dyDescent="0.25">
      <c r="A17" s="1"/>
      <c r="B17" s="1"/>
      <c r="C17" s="6" t="s">
        <v>102</v>
      </c>
      <c r="D17" s="88" t="s">
        <v>195</v>
      </c>
      <c r="E17" s="89"/>
      <c r="F17" s="89"/>
      <c r="G17" s="90"/>
      <c r="H17" s="1"/>
      <c r="I17" s="1"/>
    </row>
    <row r="18" spans="1:9" x14ac:dyDescent="0.25">
      <c r="A18" s="1"/>
      <c r="B18" s="1"/>
      <c r="C18" s="6" t="s">
        <v>86</v>
      </c>
      <c r="D18" s="94" t="s">
        <v>79</v>
      </c>
      <c r="E18" s="95"/>
      <c r="F18" s="95"/>
      <c r="G18" s="96"/>
      <c r="H18" s="1"/>
      <c r="I18" s="1"/>
    </row>
    <row r="19" spans="1:9" x14ac:dyDescent="0.25">
      <c r="A19" s="1"/>
      <c r="B19" s="1"/>
      <c r="C19" s="6" t="s">
        <v>87</v>
      </c>
      <c r="D19" s="94" t="s">
        <v>80</v>
      </c>
      <c r="E19" s="95"/>
      <c r="F19" s="95"/>
      <c r="G19" s="96"/>
      <c r="H19" s="1"/>
      <c r="I19" s="1"/>
    </row>
    <row r="20" spans="1:9" x14ac:dyDescent="0.25">
      <c r="A20" s="1"/>
      <c r="B20" s="1"/>
      <c r="C20" s="6" t="s">
        <v>7</v>
      </c>
      <c r="D20" s="94" t="s">
        <v>9</v>
      </c>
      <c r="E20" s="95"/>
      <c r="F20" s="95"/>
      <c r="G20" s="96"/>
      <c r="H20" s="1"/>
      <c r="I20" s="1"/>
    </row>
    <row r="21" spans="1:9" x14ac:dyDescent="0.25">
      <c r="A21" s="1"/>
      <c r="B21" s="1"/>
      <c r="C21" s="6" t="s">
        <v>88</v>
      </c>
      <c r="D21" s="85" t="s">
        <v>11</v>
      </c>
      <c r="E21" s="86"/>
      <c r="F21" s="86"/>
      <c r="G21" s="87"/>
      <c r="H21" s="1"/>
      <c r="I21" s="1"/>
    </row>
    <row r="22" spans="1:9" x14ac:dyDescent="0.25">
      <c r="A22" s="1"/>
      <c r="B22" s="1"/>
      <c r="C22" s="6" t="s">
        <v>73</v>
      </c>
      <c r="D22" s="79" t="s">
        <v>196</v>
      </c>
      <c r="E22" s="80"/>
      <c r="F22" s="80"/>
      <c r="G22" s="81"/>
      <c r="H22" s="1"/>
      <c r="I22" s="1"/>
    </row>
    <row r="23" spans="1:9" x14ac:dyDescent="0.25">
      <c r="A23" s="1"/>
      <c r="B23" s="1"/>
      <c r="C23" s="6" t="s">
        <v>8</v>
      </c>
      <c r="D23" s="79" t="s">
        <v>176</v>
      </c>
      <c r="E23" s="80"/>
      <c r="F23" s="80"/>
      <c r="G23" s="81"/>
      <c r="H23" s="1"/>
      <c r="I23" s="1"/>
    </row>
    <row r="24" spans="1:9" x14ac:dyDescent="0.25">
      <c r="A24" s="1"/>
      <c r="B24" s="1"/>
      <c r="C24" s="6" t="s">
        <v>172</v>
      </c>
      <c r="D24" s="79" t="s">
        <v>163</v>
      </c>
      <c r="E24" s="80"/>
      <c r="F24" s="80"/>
      <c r="G24" s="81"/>
      <c r="H24" s="1"/>
      <c r="I24" s="1"/>
    </row>
    <row r="25" spans="1:9" x14ac:dyDescent="0.25">
      <c r="A25" s="1"/>
      <c r="B25" s="1"/>
      <c r="C25" s="6" t="s">
        <v>173</v>
      </c>
      <c r="D25" s="79" t="s">
        <v>74</v>
      </c>
      <c r="E25" s="80"/>
      <c r="F25" s="80"/>
      <c r="G25" s="81"/>
      <c r="H25" s="1"/>
      <c r="I25" s="1"/>
    </row>
    <row r="26" spans="1:9" x14ac:dyDescent="0.25">
      <c r="A26" s="1"/>
      <c r="B26" s="1"/>
      <c r="C26" s="6" t="s">
        <v>174</v>
      </c>
      <c r="D26" s="79" t="s">
        <v>75</v>
      </c>
      <c r="E26" s="80"/>
      <c r="F26" s="80"/>
      <c r="G26" s="81"/>
      <c r="H26" s="1"/>
      <c r="I26" s="1"/>
    </row>
    <row r="27" spans="1:9" x14ac:dyDescent="0.25">
      <c r="A27" s="1"/>
      <c r="B27" s="1"/>
      <c r="C27" s="6" t="s">
        <v>89</v>
      </c>
      <c r="D27" s="79" t="s">
        <v>103</v>
      </c>
      <c r="E27" s="80"/>
      <c r="F27" s="80"/>
      <c r="G27" s="81"/>
      <c r="H27" s="1"/>
      <c r="I27" s="1"/>
    </row>
    <row r="28" spans="1:9" x14ac:dyDescent="0.25">
      <c r="A28" s="1"/>
      <c r="B28" s="1"/>
      <c r="C28" s="6" t="s">
        <v>83</v>
      </c>
      <c r="D28" s="79" t="s">
        <v>32</v>
      </c>
      <c r="E28" s="80"/>
      <c r="F28" s="80"/>
      <c r="G28" s="81"/>
      <c r="H28" s="1"/>
      <c r="I28" s="1"/>
    </row>
    <row r="29" spans="1:9" x14ac:dyDescent="0.25">
      <c r="A29" s="1"/>
      <c r="B29" s="1"/>
      <c r="C29" s="6" t="s">
        <v>175</v>
      </c>
      <c r="D29" s="82" t="s">
        <v>84</v>
      </c>
      <c r="E29" s="83"/>
      <c r="F29" s="83"/>
      <c r="G29" s="8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CFXkPg3YVE37SNLsSerNLdiunk+hsi1VQCr1SqJGMvL4zwyqp8F4pqMAvGQIYJm/CXRTjtsmhRLNRE5UcCJ6LQ==" saltValue="zIOwVBy4xatvgXFdbdh9B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1" t="s">
        <v>226</v>
      </c>
      <c r="C8" s="102"/>
      <c r="D8" s="103"/>
      <c r="E8" s="1"/>
      <c r="F8" s="1"/>
    </row>
    <row r="9" spans="1:6" ht="15" customHeight="1" x14ac:dyDescent="0.25">
      <c r="A9" s="1"/>
      <c r="B9" s="32" t="s">
        <v>28</v>
      </c>
      <c r="C9" s="11" t="s">
        <v>212</v>
      </c>
      <c r="D9" s="11"/>
      <c r="E9" s="1"/>
      <c r="F9" s="1"/>
    </row>
    <row r="10" spans="1:6" ht="15" customHeight="1" x14ac:dyDescent="0.25">
      <c r="A10" s="1"/>
      <c r="B10" s="68" t="s">
        <v>243</v>
      </c>
      <c r="C10" s="9">
        <v>20491442</v>
      </c>
      <c r="D10" s="14" t="s">
        <v>3</v>
      </c>
      <c r="E10" s="1"/>
      <c r="F10" s="1"/>
    </row>
    <row r="11" spans="1:6" x14ac:dyDescent="0.25">
      <c r="A11" s="1"/>
      <c r="B11" s="68" t="s">
        <v>244</v>
      </c>
      <c r="C11" s="9">
        <v>123492</v>
      </c>
      <c r="D11" s="14" t="s">
        <v>3</v>
      </c>
      <c r="E11" s="1"/>
      <c r="F11" s="1"/>
    </row>
    <row r="12" spans="1:6" x14ac:dyDescent="0.25">
      <c r="A12" s="1"/>
      <c r="B12" s="68" t="s">
        <v>245</v>
      </c>
      <c r="C12" s="9">
        <v>230204</v>
      </c>
      <c r="D12" s="14" t="s">
        <v>3</v>
      </c>
      <c r="E12" s="1"/>
      <c r="F12" s="1"/>
    </row>
    <row r="13" spans="1:6" x14ac:dyDescent="0.25">
      <c r="A13" s="1"/>
      <c r="B13" s="68"/>
      <c r="C13" s="9"/>
      <c r="D13" s="14" t="s">
        <v>3</v>
      </c>
      <c r="E13" s="1"/>
      <c r="F13" s="1"/>
    </row>
    <row r="14" spans="1:6" x14ac:dyDescent="0.25">
      <c r="A14" s="1"/>
      <c r="B14" s="68"/>
      <c r="C14" s="9"/>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1" t="s">
        <v>213</v>
      </c>
      <c r="C19" s="12">
        <f>SUM(C10:C18)</f>
        <v>20845138</v>
      </c>
      <c r="D19" s="13" t="s">
        <v>3</v>
      </c>
      <c r="E19" s="1"/>
      <c r="F19" s="1"/>
    </row>
    <row r="20" spans="1:6" x14ac:dyDescent="0.25">
      <c r="A20" s="1"/>
      <c r="B20" s="51" t="s">
        <v>214</v>
      </c>
      <c r="C20" s="12">
        <f>C19*(1+'Fane 13. Nøgletal'!C16)^2</f>
        <v>24349802.702552319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6b3hfEY74bkqnm3bcKe+j63g/8NwwrMqOLGl9WydSqqQW5HHFN5wEuVKggaW8dgycwBHd1MP7bf46iYxB+yWZQ==" saltValue="m8JrNKadXQgRD2th2SAun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7EFA-1B5A-44AA-930A-C99E7D41FAD6}">
  <dimension ref="A1:G45"/>
  <sheetViews>
    <sheetView showGridLines="0" view="pageLayout" zoomScale="60" zoomScaleNormal="100" zoomScalePageLayoutView="6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61"/>
      <c r="D6" s="62"/>
      <c r="E6" s="64"/>
      <c r="F6" s="64"/>
      <c r="G6" s="1"/>
    </row>
    <row r="7" spans="1:7" x14ac:dyDescent="0.25">
      <c r="A7" s="1"/>
      <c r="B7" s="1"/>
      <c r="C7" s="1"/>
      <c r="D7" s="1"/>
      <c r="E7" s="63"/>
      <c r="F7" s="1"/>
      <c r="G7" s="1"/>
    </row>
    <row r="8" spans="1:7" x14ac:dyDescent="0.25">
      <c r="A8" s="1"/>
      <c r="B8" s="101" t="s">
        <v>246</v>
      </c>
      <c r="C8" s="102"/>
      <c r="D8" s="102"/>
      <c r="E8" s="102"/>
      <c r="F8" s="103"/>
      <c r="G8" s="1"/>
    </row>
    <row r="9" spans="1:7" x14ac:dyDescent="0.25">
      <c r="A9" s="1"/>
      <c r="B9" s="104" t="s">
        <v>247</v>
      </c>
      <c r="C9" s="105"/>
      <c r="D9" s="106"/>
      <c r="E9" s="28">
        <v>11792797</v>
      </c>
      <c r="F9" s="14" t="s">
        <v>3</v>
      </c>
      <c r="G9" s="1"/>
    </row>
    <row r="10" spans="1:7" x14ac:dyDescent="0.25">
      <c r="A10" s="1"/>
      <c r="B10" s="51"/>
      <c r="C10" s="52"/>
      <c r="D10" s="52"/>
      <c r="E10" s="52"/>
      <c r="F10" s="19"/>
      <c r="G10" s="1"/>
    </row>
    <row r="11" spans="1:7" ht="53.25" customHeight="1" x14ac:dyDescent="0.25">
      <c r="A11" s="1"/>
      <c r="B11" s="126" t="s">
        <v>248</v>
      </c>
      <c r="C11" s="127"/>
      <c r="D11" s="127"/>
      <c r="E11" s="127"/>
      <c r="F11" s="128"/>
      <c r="G11" s="1"/>
    </row>
    <row r="12" spans="1:7" x14ac:dyDescent="0.25">
      <c r="A12" s="1"/>
      <c r="B12" s="1"/>
      <c r="C12" s="1"/>
      <c r="D12" s="1"/>
      <c r="E12" s="1"/>
      <c r="F12" s="1"/>
      <c r="G12" s="1"/>
    </row>
    <row r="13" spans="1:7" x14ac:dyDescent="0.25">
      <c r="A13" s="1"/>
      <c r="B13" s="101" t="s">
        <v>140</v>
      </c>
      <c r="C13" s="102"/>
      <c r="D13" s="102"/>
      <c r="E13" s="102"/>
      <c r="F13" s="103"/>
      <c r="G13" s="1"/>
    </row>
    <row r="14" spans="1:7" x14ac:dyDescent="0.25">
      <c r="A14" s="1"/>
      <c r="B14" s="104" t="s">
        <v>249</v>
      </c>
      <c r="C14" s="105"/>
      <c r="D14" s="106"/>
      <c r="E14" s="9">
        <v>0</v>
      </c>
      <c r="F14" s="14" t="s">
        <v>3</v>
      </c>
      <c r="G14" s="1"/>
    </row>
    <row r="15" spans="1:7" x14ac:dyDescent="0.25">
      <c r="A15" s="1"/>
      <c r="B15" s="104" t="s">
        <v>250</v>
      </c>
      <c r="C15" s="105"/>
      <c r="D15" s="106"/>
      <c r="E15" s="9">
        <v>0</v>
      </c>
      <c r="F15" s="14" t="s">
        <v>3</v>
      </c>
      <c r="G15" s="1"/>
    </row>
    <row r="16" spans="1:7" x14ac:dyDescent="0.25">
      <c r="A16" s="1"/>
      <c r="B16" s="51"/>
      <c r="C16" s="52"/>
      <c r="D16" s="52"/>
      <c r="E16" s="52"/>
      <c r="F16" s="19"/>
      <c r="G16" s="1"/>
    </row>
    <row r="17" spans="1:7" ht="32.25" customHeight="1" x14ac:dyDescent="0.25">
      <c r="A17" s="1"/>
      <c r="B17" s="126" t="s">
        <v>251</v>
      </c>
      <c r="C17" s="127"/>
      <c r="D17" s="127"/>
      <c r="E17" s="127"/>
      <c r="F17" s="128"/>
      <c r="G17" s="1"/>
    </row>
    <row r="18" spans="1:7" x14ac:dyDescent="0.25">
      <c r="A18" s="1"/>
      <c r="B18" s="1"/>
      <c r="C18" s="1"/>
      <c r="D18" s="1"/>
      <c r="E18" s="1"/>
      <c r="F18" s="1"/>
      <c r="G18" s="1"/>
    </row>
    <row r="19" spans="1:7" x14ac:dyDescent="0.25">
      <c r="A19" s="1"/>
      <c r="B19" s="69" t="s">
        <v>252</v>
      </c>
      <c r="C19" s="70"/>
      <c r="D19" s="70"/>
      <c r="E19" s="70"/>
      <c r="F19" s="71"/>
      <c r="G19" s="1"/>
    </row>
    <row r="20" spans="1:7" x14ac:dyDescent="0.25">
      <c r="A20" s="1"/>
      <c r="B20" s="65" t="s">
        <v>253</v>
      </c>
      <c r="C20" s="66"/>
      <c r="D20" s="67"/>
      <c r="E20" s="9">
        <v>52257025</v>
      </c>
      <c r="F20" s="14" t="s">
        <v>3</v>
      </c>
      <c r="G20" s="1"/>
    </row>
    <row r="21" spans="1:7" x14ac:dyDescent="0.25">
      <c r="A21" s="1"/>
      <c r="B21" s="65" t="s">
        <v>254</v>
      </c>
      <c r="C21" s="66"/>
      <c r="D21" s="67"/>
      <c r="E21" s="9">
        <v>44456563</v>
      </c>
      <c r="F21" s="14" t="s">
        <v>3</v>
      </c>
      <c r="G21" s="1"/>
    </row>
    <row r="22" spans="1:7" x14ac:dyDescent="0.25">
      <c r="A22" s="1"/>
      <c r="B22" s="65" t="s">
        <v>29</v>
      </c>
      <c r="C22" s="66"/>
      <c r="D22" s="67"/>
      <c r="E22" s="9">
        <v>0</v>
      </c>
      <c r="F22" s="14" t="s">
        <v>3</v>
      </c>
      <c r="G22" s="1"/>
    </row>
    <row r="23" spans="1:7" x14ac:dyDescent="0.25">
      <c r="A23" s="1"/>
      <c r="B23" s="73" t="s">
        <v>255</v>
      </c>
      <c r="C23" s="74"/>
      <c r="D23" s="75"/>
      <c r="E23" s="10">
        <f>E20-(E21-E22)</f>
        <v>7800462</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1" t="s">
        <v>256</v>
      </c>
      <c r="C26" s="102"/>
      <c r="D26" s="102"/>
      <c r="E26" s="102"/>
      <c r="F26" s="103"/>
      <c r="G26" s="1"/>
    </row>
    <row r="27" spans="1:7" x14ac:dyDescent="0.25">
      <c r="A27" s="1"/>
      <c r="B27" s="129" t="s">
        <v>257</v>
      </c>
      <c r="C27" s="130"/>
      <c r="D27" s="131"/>
      <c r="E27" s="59">
        <f>IF(AND(E15&lt;0,E23&gt;0,ABS(SUM(E14:E15))&lt;E23),ABS(E14),IF(AND(E15&lt;0,E23&gt;0,ABS(SUM(E14:E15))&gt;E23),SUM(E14,E23),0))</f>
        <v>0</v>
      </c>
      <c r="F27" s="17" t="s">
        <v>3</v>
      </c>
      <c r="G27" s="1"/>
    </row>
    <row r="28" spans="1:7" x14ac:dyDescent="0.25">
      <c r="A28" s="1"/>
      <c r="B28" s="101"/>
      <c r="C28" s="102"/>
      <c r="D28" s="102"/>
      <c r="E28" s="102"/>
      <c r="F28" s="103"/>
      <c r="G28" s="1"/>
    </row>
    <row r="29" spans="1:7" x14ac:dyDescent="0.25">
      <c r="A29" s="1"/>
      <c r="B29" s="1"/>
      <c r="C29" s="1"/>
      <c r="D29" s="1"/>
      <c r="E29" s="1"/>
      <c r="F29" s="1"/>
      <c r="G29" s="1"/>
    </row>
    <row r="30" spans="1:7" x14ac:dyDescent="0.25">
      <c r="A30" s="1"/>
      <c r="B30" s="101" t="s">
        <v>258</v>
      </c>
      <c r="C30" s="102"/>
      <c r="D30" s="102"/>
      <c r="E30" s="102"/>
      <c r="F30" s="103"/>
      <c r="G30" s="1"/>
    </row>
    <row r="31" spans="1:7" x14ac:dyDescent="0.25">
      <c r="A31" s="1"/>
      <c r="B31" s="119" t="s">
        <v>117</v>
      </c>
      <c r="C31" s="120"/>
      <c r="D31" s="121"/>
      <c r="E31" s="60">
        <f>IF(AND(E9&gt;0,(E9+E23)&gt;0),0,IF(AND(E9&gt;0,(E9+E23)&lt;0),(E9+E23),IF(AND(E9&lt;0,E23&lt;0),E23,0)))</f>
        <v>0</v>
      </c>
      <c r="F31" s="14" t="s">
        <v>3</v>
      </c>
      <c r="G31" s="1"/>
    </row>
    <row r="32" spans="1:7" x14ac:dyDescent="0.25">
      <c r="A32" s="1"/>
      <c r="B32" s="119" t="s">
        <v>85</v>
      </c>
      <c r="C32" s="120"/>
      <c r="D32" s="121"/>
      <c r="E32" s="9">
        <v>2</v>
      </c>
      <c r="F32" s="14" t="s">
        <v>18</v>
      </c>
      <c r="G32" s="1"/>
    </row>
    <row r="33" spans="1:7" x14ac:dyDescent="0.25">
      <c r="A33" s="1"/>
      <c r="B33" s="122" t="s">
        <v>116</v>
      </c>
      <c r="C33" s="122"/>
      <c r="D33" s="122"/>
      <c r="E33" s="59">
        <f>E31/E32</f>
        <v>0</v>
      </c>
      <c r="F33" s="17" t="s">
        <v>3</v>
      </c>
      <c r="G33" s="1"/>
    </row>
    <row r="34" spans="1:7" x14ac:dyDescent="0.25">
      <c r="A34" s="1"/>
      <c r="B34" s="123"/>
      <c r="C34" s="124"/>
      <c r="D34" s="124"/>
      <c r="E34" s="124"/>
      <c r="F34" s="12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CIhemOfdvBNEAUFKEVwseVUdGZSTuWdrxEcOpRXEXchud+iKuZqZD4zO3XE4XM+QF8K/vFz0UXgP7Vuxwo6dg==" saltValue="Mu0kxXDQuIV/t83c4pQ3QQ=="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1" t="s">
        <v>184</v>
      </c>
      <c r="C8" s="102"/>
      <c r="D8" s="102"/>
      <c r="E8" s="102"/>
      <c r="F8" s="102"/>
      <c r="G8" s="102"/>
      <c r="H8" s="103"/>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1" t="s">
        <v>193</v>
      </c>
      <c r="C18" s="102"/>
      <c r="D18" s="102"/>
      <c r="E18" s="102"/>
      <c r="F18" s="10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1OxZ8ecBPBkyES5byJbyH71QotJPt4z74PfinXxILi3PX/7teR6tAkOx0up1eR3QEeadVdnk+MsE+gJLmPO1Aw==" saltValue="ihCFzptPCyzldT+BdsO5w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1" t="s">
        <v>155</v>
      </c>
      <c r="C8" s="102"/>
      <c r="D8" s="102"/>
      <c r="E8" s="102"/>
      <c r="F8" s="102"/>
      <c r="G8" s="102"/>
      <c r="H8" s="102"/>
      <c r="I8" s="102"/>
      <c r="J8" s="102"/>
      <c r="K8" s="103"/>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JjOlWD4+JZmkPQsv9bLKNaRCAg6X7ldF43PGaQRwaxwkK3q+FXsPKKPQIamWMf74lDcwrunJoKJemZvujdCBSg==" saltValue="fDJPU9tLU+tIgp8ZrV/d8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0</v>
      </c>
      <c r="D17" s="13" t="s">
        <v>3</v>
      </c>
      <c r="E17" s="12">
        <f>SUM(E10:E16)</f>
        <v>0</v>
      </c>
      <c r="F17" s="13" t="s">
        <v>3</v>
      </c>
      <c r="G17" s="1"/>
    </row>
    <row r="18" spans="1:7" x14ac:dyDescent="0.25">
      <c r="A18" s="1"/>
      <c r="B18" s="51" t="s">
        <v>209</v>
      </c>
      <c r="C18" s="12">
        <f>C17*(1+'Fane 13. Nøgletal'!C16)</f>
        <v>0</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XD8eqhWzUGVrsSaSMaAbiozQTe/zYrX0cZcZk+y1EEfiTHV+37x9cge/kxA6a5JNZIufqOEOzGIf9/YaxAYULg==" saltValue="gKKXF0oTD5bkdZJCfKLnR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1" t="s">
        <v>217</v>
      </c>
      <c r="C9" s="102"/>
      <c r="D9" s="102"/>
      <c r="E9" s="102"/>
      <c r="F9" s="103"/>
      <c r="G9" s="1"/>
    </row>
    <row r="10" spans="1:7" ht="26.25" x14ac:dyDescent="0.25">
      <c r="A10" s="1"/>
      <c r="B10" s="76" t="s">
        <v>15</v>
      </c>
      <c r="C10" s="76" t="s">
        <v>10</v>
      </c>
      <c r="D10" s="77"/>
      <c r="E10" s="76" t="s">
        <v>27</v>
      </c>
      <c r="F10" s="30"/>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vx5NpM6KGkqn9mpaMhgxwi0hBd51wGkzaJina4w6byVKOPOAiIeVeEcAW+nCA5AM3KbekEk5vfRsd1p18KXLw==" saltValue="eNk31Zbelo740CcYbuJu+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1" t="s">
        <v>104</v>
      </c>
      <c r="C8" s="102"/>
      <c r="D8" s="102"/>
      <c r="E8" s="102"/>
      <c r="F8" s="103"/>
      <c r="G8" s="1"/>
    </row>
    <row r="9" spans="1:7" ht="15" customHeight="1" x14ac:dyDescent="0.25">
      <c r="A9" s="1"/>
      <c r="B9" s="53" t="s">
        <v>105</v>
      </c>
      <c r="C9" s="132" t="s">
        <v>10</v>
      </c>
      <c r="D9" s="134"/>
      <c r="E9" s="132" t="s">
        <v>27</v>
      </c>
      <c r="F9" s="134"/>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HzzAi8BNAUCNDDLSgTb8aUu2HsUSisZYCHvmLgl5ov6qxLW1X6BnSnQ4NOFYEdepY9PzNb8gQ+33sdtA34VOqw==" saltValue="RCmDT4ewtVKiVwiSiafpo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F49"/>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181</v>
      </c>
      <c r="C3" s="100"/>
      <c r="D3" s="100"/>
      <c r="E3" s="100"/>
      <c r="F3" s="100"/>
    </row>
    <row r="4" spans="1:6" ht="25.5" customHeight="1" x14ac:dyDescent="0.25">
      <c r="A4" s="1"/>
      <c r="B4" s="100"/>
      <c r="C4" s="100"/>
      <c r="D4" s="100"/>
      <c r="E4" s="100"/>
      <c r="F4" s="100"/>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
      <c r="C8" s="1"/>
      <c r="D8" s="1"/>
      <c r="E8" s="1"/>
      <c r="F8" s="1"/>
    </row>
    <row r="9" spans="1:6" ht="15" customHeight="1" x14ac:dyDescent="0.25">
      <c r="A9" s="1"/>
      <c r="B9" s="1"/>
      <c r="C9" s="1"/>
      <c r="D9" s="1"/>
      <c r="E9" s="1"/>
      <c r="F9" s="1"/>
    </row>
    <row r="10" spans="1:6" x14ac:dyDescent="0.25">
      <c r="A10" s="1"/>
      <c r="B10" s="101" t="s">
        <v>237</v>
      </c>
      <c r="C10" s="102"/>
      <c r="D10" s="102"/>
      <c r="E10" s="102"/>
      <c r="F10" s="103"/>
    </row>
    <row r="11" spans="1:6" ht="26.25" x14ac:dyDescent="0.25">
      <c r="A11" s="1"/>
      <c r="B11" s="53" t="s">
        <v>16</v>
      </c>
      <c r="C11" s="53" t="s">
        <v>10</v>
      </c>
      <c r="D11" s="30"/>
      <c r="E11" s="53" t="s">
        <v>27</v>
      </c>
      <c r="F11" s="30"/>
    </row>
    <row r="12" spans="1:6" x14ac:dyDescent="0.25">
      <c r="A12" s="1"/>
      <c r="B12" s="57" t="s">
        <v>242</v>
      </c>
      <c r="C12" s="9">
        <v>0</v>
      </c>
      <c r="D12" s="14" t="s">
        <v>3</v>
      </c>
      <c r="E12" s="9">
        <v>0</v>
      </c>
      <c r="F12" s="14" t="s">
        <v>3</v>
      </c>
    </row>
    <row r="13" spans="1:6" x14ac:dyDescent="0.25">
      <c r="A13" s="1"/>
      <c r="B13" s="51" t="s">
        <v>78</v>
      </c>
      <c r="C13" s="12">
        <f>SUM(C12:C12)</f>
        <v>0</v>
      </c>
      <c r="D13" s="13" t="s">
        <v>3</v>
      </c>
      <c r="E13" s="12">
        <f>SUM(E12:E12)</f>
        <v>0</v>
      </c>
      <c r="F13" s="13" t="s">
        <v>3</v>
      </c>
    </row>
    <row r="14" spans="1:6" x14ac:dyDescent="0.25">
      <c r="A14" s="1"/>
      <c r="B14" s="51" t="s">
        <v>233</v>
      </c>
      <c r="C14" s="12">
        <f>C13*(1+'Fane 13. Nøgletal'!C16)</f>
        <v>0</v>
      </c>
      <c r="D14" s="13" t="s">
        <v>3</v>
      </c>
      <c r="E14" s="12">
        <f>E13*(1+'Fane 13. Nøgletal'!C16)</f>
        <v>0</v>
      </c>
      <c r="F14" s="13" t="s">
        <v>3</v>
      </c>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IEUuA92w+nYz9z7lCyhRmGFR5iadl+uid4S0bj8Vs2zGaVLf7noiF3KjYtM7m/sTWot7gEt2TH9J2GpwJIrLIg==" saltValue="4gv/N6slENxe5BqxDSAnH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1"/>
      <c r="C17" s="103"/>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8"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S9GF86fGGh8GBcLms48vR2mKf0sq0vGPtw6qdQoA/+Rs2LPIb3FY9tNbOGs54xBj7yKgWLgT9q+P4TW6oucCUw==" saltValue="djOv/VaXvCWr8YuSvcQl6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32652810.233308069</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1162440.0443057672</v>
      </c>
      <c r="D15" s="8" t="s">
        <v>3</v>
      </c>
      <c r="E15" s="1"/>
    </row>
    <row r="16" spans="1:5" ht="17.100000000000001" customHeight="1" x14ac:dyDescent="0.25">
      <c r="A16" s="1"/>
      <c r="B16" s="24" t="s">
        <v>9</v>
      </c>
      <c r="C16" s="9">
        <f>-SUM(C8,C9:C15)*'Fane 5. Individuelt eff. krav'!G9</f>
        <v>-335646.43529261998</v>
      </c>
      <c r="D16" s="8" t="s">
        <v>3</v>
      </c>
      <c r="E16" s="1"/>
    </row>
    <row r="17" spans="1:5" ht="17.100000000000001" customHeight="1" x14ac:dyDescent="0.25">
      <c r="A17" s="1"/>
      <c r="B17" s="24" t="s">
        <v>22</v>
      </c>
      <c r="C17" s="9">
        <f>-'Fane 4.1. Gen. krav - drift'!G49</f>
        <v>-271920.49757015071</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33207683.344751064</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24349802.702552319</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6">
        <f>SUM(C23:C26)</f>
        <v>0</v>
      </c>
      <c r="D27" s="11" t="s">
        <v>3</v>
      </c>
      <c r="E27" s="1"/>
    </row>
    <row r="28" spans="1:5" ht="15" customHeight="1" x14ac:dyDescent="0.25">
      <c r="A28" s="1"/>
      <c r="B28" s="26" t="s">
        <v>117</v>
      </c>
      <c r="C28" s="52"/>
      <c r="D28" s="19"/>
      <c r="E28" s="1"/>
    </row>
    <row r="29" spans="1:5" x14ac:dyDescent="0.25">
      <c r="A29" s="1"/>
      <c r="B29" s="72" t="s">
        <v>118</v>
      </c>
      <c r="C29" s="10">
        <f>'Fane 7. Kontrol af ØR2022'!E15</f>
        <v>0</v>
      </c>
      <c r="D29" s="11" t="s">
        <v>3</v>
      </c>
      <c r="E29" s="1"/>
    </row>
    <row r="30" spans="1:5" x14ac:dyDescent="0.25">
      <c r="A30" s="1"/>
      <c r="B30" s="26" t="s">
        <v>138</v>
      </c>
      <c r="C30" s="52"/>
      <c r="D30" s="19"/>
      <c r="E30" s="1"/>
    </row>
    <row r="31" spans="1:5" x14ac:dyDescent="0.25">
      <c r="A31" s="1"/>
      <c r="B31" s="72" t="s">
        <v>139</v>
      </c>
      <c r="C31" s="10">
        <f>'Fane 8. Skattesagen'!G13</f>
        <v>0</v>
      </c>
      <c r="D31" s="11" t="s">
        <v>3</v>
      </c>
      <c r="E31" s="1"/>
    </row>
    <row r="32" spans="1:5" x14ac:dyDescent="0.25">
      <c r="A32" s="1"/>
      <c r="B32" s="51" t="s">
        <v>126</v>
      </c>
      <c r="C32" s="33">
        <f>SUM(C19,C21,C27,C29,C31)</f>
        <v>57557486.047303379</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6sV5s119QLuoIyVCB9FpA+KFZFu0sMWLxaGyPZDwe6Btl3/r5CQ13/Vimns0uNc0nVmIUurGlIk+S+d93ostA==" saltValue="gNEgNC966afkpfrtxmfZZ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33207683.344751064</v>
      </c>
      <c r="D8" s="8" t="s">
        <v>3</v>
      </c>
      <c r="E8" s="1"/>
    </row>
    <row r="9" spans="1:5" ht="15" customHeight="1" x14ac:dyDescent="0.25">
      <c r="A9" s="1"/>
      <c r="B9" s="29" t="s">
        <v>17</v>
      </c>
      <c r="C9" s="9">
        <f>SUM(C8:C8)*'Fane 13. Nøgletal'!C16</f>
        <v>2683180.8142558858</v>
      </c>
      <c r="D9" s="8" t="s">
        <v>3</v>
      </c>
      <c r="E9" s="1"/>
    </row>
    <row r="10" spans="1:5" ht="15" customHeight="1" x14ac:dyDescent="0.25">
      <c r="A10" s="1"/>
      <c r="B10" s="29" t="s">
        <v>9</v>
      </c>
      <c r="C10" s="9">
        <f>-SUM(C8:C9)*'Fane 5. Individuelt eff. krav'!G9</f>
        <v>-356248.7491780413</v>
      </c>
      <c r="D10" s="8" t="s">
        <v>3</v>
      </c>
      <c r="E10" s="1"/>
    </row>
    <row r="11" spans="1:5" ht="15" customHeight="1" x14ac:dyDescent="0.25">
      <c r="A11" s="1"/>
      <c r="B11" s="29" t="s">
        <v>22</v>
      </c>
      <c r="C11" s="9">
        <f>-'Fane 4.1. Gen. krav - drift'!G54</f>
        <v>-288013.84029834246</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35246601.569530569</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26317266.760918546</v>
      </c>
      <c r="D15" s="11" t="s">
        <v>3</v>
      </c>
      <c r="E15" s="1"/>
    </row>
    <row r="16" spans="1:5" x14ac:dyDescent="0.25">
      <c r="A16" s="1"/>
      <c r="B16" s="26" t="s">
        <v>117</v>
      </c>
      <c r="C16" s="52"/>
      <c r="D16" s="19"/>
      <c r="E16" s="1"/>
    </row>
    <row r="17" spans="1:5" ht="15" customHeight="1" x14ac:dyDescent="0.25">
      <c r="A17" s="1"/>
      <c r="B17" s="72" t="s">
        <v>118</v>
      </c>
      <c r="C17" s="10">
        <f>'Fane 7. Kontrol af ØR2022'!E33</f>
        <v>0</v>
      </c>
      <c r="D17" s="11" t="s">
        <v>3</v>
      </c>
      <c r="E17" s="1"/>
    </row>
    <row r="18" spans="1:5" x14ac:dyDescent="0.25">
      <c r="A18" s="1"/>
      <c r="B18" s="26" t="s">
        <v>138</v>
      </c>
      <c r="C18" s="52"/>
      <c r="D18" s="19"/>
      <c r="E18" s="1"/>
    </row>
    <row r="19" spans="1:5" x14ac:dyDescent="0.25">
      <c r="A19" s="1"/>
      <c r="B19" s="72" t="s">
        <v>139</v>
      </c>
      <c r="C19" s="10">
        <f>'Fane 8. Skattesagen'!G13</f>
        <v>0</v>
      </c>
      <c r="D19" s="11" t="s">
        <v>3</v>
      </c>
      <c r="E19" s="1"/>
    </row>
    <row r="20" spans="1:5" x14ac:dyDescent="0.25">
      <c r="A20" s="1"/>
      <c r="B20" s="51" t="s">
        <v>128</v>
      </c>
      <c r="C20" s="12">
        <f>SUM(C13,C15,C17,C19)</f>
        <v>61563868.330449119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EokRnh5ElG60Ae92fc0e8iXEAY8qtew/IaKEKGqMP7+sgS00/zuTZhT7euja1X0VTaBPW5SzGi/Y9tVzIpidw==" saltValue="Jzsha2QUCjj4PW7yeOZjE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35246601.569530569</v>
      </c>
      <c r="D8" s="8" t="s">
        <v>3</v>
      </c>
      <c r="E8" s="1"/>
    </row>
    <row r="9" spans="1:5" ht="15" customHeight="1" x14ac:dyDescent="0.25">
      <c r="A9" s="1"/>
      <c r="B9" s="29" t="s">
        <v>17</v>
      </c>
      <c r="C9" s="9">
        <f>SUM(C8:C8)*'Fane 13. Nøgletal'!C16</f>
        <v>2847925.40681807</v>
      </c>
      <c r="D9" s="8" t="s">
        <v>3</v>
      </c>
      <c r="E9" s="1"/>
    </row>
    <row r="10" spans="1:5" ht="15" customHeight="1" x14ac:dyDescent="0.25">
      <c r="A10" s="1"/>
      <c r="B10" s="29" t="s">
        <v>9</v>
      </c>
      <c r="C10" s="9">
        <f>-SUM(C8:C9)*'Fane 5. Individuelt eff. krav'!G9</f>
        <v>-378122.06264327647</v>
      </c>
      <c r="D10" s="8" t="s">
        <v>3</v>
      </c>
      <c r="E10" s="1"/>
    </row>
    <row r="11" spans="1:5" ht="15" customHeight="1" x14ac:dyDescent="0.25">
      <c r="A11" s="1"/>
      <c r="B11" s="29" t="s">
        <v>22</v>
      </c>
      <c r="C11" s="9">
        <f>-'Fane 4.1. Gen. krav - drift'!G59</f>
        <v>-305059.65142255957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37411345.262282804</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28443701.915200762</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72" t="s">
        <v>139</v>
      </c>
      <c r="C19" s="10">
        <f>'Fane 8. Skattesagen'!G14</f>
        <v>0</v>
      </c>
      <c r="D19" s="11" t="s">
        <v>3</v>
      </c>
      <c r="E19" s="1"/>
    </row>
    <row r="20" spans="1:5" x14ac:dyDescent="0.25">
      <c r="A20" s="1"/>
      <c r="B20" s="51" t="s">
        <v>143</v>
      </c>
      <c r="C20" s="12">
        <f>SUM(C13,C15,C17,C19)</f>
        <v>65855047.177483566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r/A8flVDcmUpBueVgDzi8bFaULpTgovzh2Lx20f2EjRndqcyFc78PFgo5ULzfJegBuR1Ub/J7Ha2Jt2JmJD8Q==" saltValue="FNNooNSjqAe7Klcci6/hH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37411345.262282804</v>
      </c>
      <c r="D8" s="8" t="s">
        <v>3</v>
      </c>
      <c r="E8" s="1"/>
    </row>
    <row r="9" spans="1:5" ht="15" customHeight="1" x14ac:dyDescent="0.25">
      <c r="A9" s="1"/>
      <c r="B9" s="29" t="s">
        <v>17</v>
      </c>
      <c r="C9" s="9">
        <f>SUM(C8:C8)*'Fane 13. Nøgletal'!C16</f>
        <v>3022836.6971924505</v>
      </c>
      <c r="D9" s="8" t="s">
        <v>3</v>
      </c>
      <c r="E9" s="1"/>
    </row>
    <row r="10" spans="1:5" ht="15" customHeight="1" x14ac:dyDescent="0.25">
      <c r="A10" s="1"/>
      <c r="B10" s="29" t="s">
        <v>9</v>
      </c>
      <c r="C10" s="9">
        <f>-SUM(C8:C9)*'Fane 5. Individuelt eff. krav'!G9</f>
        <v>-401345.21930939588</v>
      </c>
      <c r="D10" s="8" t="s">
        <v>3</v>
      </c>
      <c r="E10" s="1"/>
    </row>
    <row r="11" spans="1:5" ht="15" customHeight="1" x14ac:dyDescent="0.25">
      <c r="A11" s="1"/>
      <c r="B11" s="29" t="s">
        <v>22</v>
      </c>
      <c r="C11" s="9">
        <f>-'Fane 4.1. Gen. krav - drift'!G64</f>
        <v>-323114.3018323523</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39709722.438333504</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30741953.029948983</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2" t="s">
        <v>139</v>
      </c>
      <c r="C19" s="10">
        <f>'Fane 8. Skattesagen'!G15</f>
        <v>0</v>
      </c>
      <c r="D19" s="11" t="s">
        <v>3</v>
      </c>
      <c r="E19" s="1"/>
    </row>
    <row r="20" spans="1:5" x14ac:dyDescent="0.25">
      <c r="A20" s="1"/>
      <c r="B20" s="51" t="s">
        <v>205</v>
      </c>
      <c r="C20" s="12">
        <f>SUM(C13,C15,C17,C19)</f>
        <v>70451675.468282491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cwAPoYaXJowYJ6qvRUgUhZ3uaIadeVflGpQiJgwELxudm4TvYiemW8gsGL2Lhg65fC1aQ1R4kZ+tULE+keBVw==" saltValue="kHW5xnyKvR9nAEAbZ8TEv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32107749.503091801</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1143035.882310068</v>
      </c>
      <c r="D15" s="8" t="s">
        <v>3</v>
      </c>
      <c r="E15" s="1"/>
    </row>
    <row r="16" spans="1:5" x14ac:dyDescent="0.25">
      <c r="A16" s="1"/>
      <c r="B16" s="24" t="s">
        <v>9</v>
      </c>
      <c r="C16" s="9">
        <v>-330043.61918558663</v>
      </c>
      <c r="D16" s="8" t="s">
        <v>3</v>
      </c>
      <c r="E16" s="1"/>
    </row>
    <row r="17" spans="1:5" x14ac:dyDescent="0.25">
      <c r="A17" s="1"/>
      <c r="B17" s="24" t="s">
        <v>22</v>
      </c>
      <c r="C17" s="9">
        <v>-267931.53290821321</v>
      </c>
      <c r="D17" s="8" t="s">
        <v>3</v>
      </c>
      <c r="E17" s="1"/>
    </row>
    <row r="18" spans="1:5" x14ac:dyDescent="0.25">
      <c r="A18" s="1"/>
      <c r="B18" s="24" t="s">
        <v>23</v>
      </c>
      <c r="C18" s="9">
        <v>0</v>
      </c>
      <c r="D18" s="8" t="s">
        <v>3</v>
      </c>
      <c r="E18" s="1"/>
    </row>
    <row r="19" spans="1:5" x14ac:dyDescent="0.25">
      <c r="A19" s="1"/>
      <c r="B19" s="73" t="s">
        <v>19</v>
      </c>
      <c r="C19" s="10">
        <v>32652810.233308069</v>
      </c>
      <c r="D19" s="11" t="s">
        <v>3</v>
      </c>
      <c r="E19" s="1"/>
    </row>
    <row r="20" spans="1:5" x14ac:dyDescent="0.25">
      <c r="A20" s="1"/>
      <c r="B20" s="51" t="s">
        <v>11</v>
      </c>
      <c r="C20" s="52"/>
      <c r="D20" s="19"/>
      <c r="E20" s="1"/>
    </row>
    <row r="21" spans="1:5" x14ac:dyDescent="0.25">
      <c r="A21" s="1"/>
      <c r="B21" s="53" t="s">
        <v>11</v>
      </c>
      <c r="C21" s="10">
        <v>22706643.584822401</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6">
        <v>0</v>
      </c>
      <c r="D27" s="11" t="s">
        <v>3</v>
      </c>
      <c r="E27" s="1"/>
    </row>
    <row r="28" spans="1:5" x14ac:dyDescent="0.25">
      <c r="A28" s="1"/>
      <c r="B28" s="26" t="s">
        <v>117</v>
      </c>
      <c r="C28" s="52"/>
      <c r="D28" s="19"/>
      <c r="E28" s="1"/>
    </row>
    <row r="29" spans="1:5" x14ac:dyDescent="0.25">
      <c r="A29" s="1"/>
      <c r="B29" s="72" t="s">
        <v>118</v>
      </c>
      <c r="C29" s="10">
        <v>0</v>
      </c>
      <c r="D29" s="11" t="s">
        <v>3</v>
      </c>
      <c r="E29" s="1"/>
    </row>
    <row r="30" spans="1:5" x14ac:dyDescent="0.25">
      <c r="A30" s="1"/>
      <c r="B30" s="26" t="s">
        <v>138</v>
      </c>
      <c r="C30" s="52"/>
      <c r="D30" s="19"/>
      <c r="E30" s="1"/>
    </row>
    <row r="31" spans="1:5" x14ac:dyDescent="0.25">
      <c r="A31" s="1"/>
      <c r="B31" s="72" t="s">
        <v>139</v>
      </c>
      <c r="C31" s="10">
        <v>0</v>
      </c>
      <c r="D31" s="11" t="s">
        <v>3</v>
      </c>
      <c r="E31" s="1"/>
    </row>
    <row r="32" spans="1:5" x14ac:dyDescent="0.25">
      <c r="A32" s="1"/>
      <c r="B32" s="51" t="s">
        <v>239</v>
      </c>
      <c r="C32" s="33">
        <v>55359453.818130471</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JUCzh1z7C+48Dpwfrv5VcLwggtJlFpWEMsntV6yUJRscG2q5JJmjxnrTa2su3Sra3GJ0LDq8v9QZ4CfDKzMxaQ==" saltValue="rvPxIPWatsSNjGwyDjj69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85" zoomScaleNormal="100" zoomScalePageLayoutView="85"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1" t="s">
        <v>44</v>
      </c>
      <c r="C4" s="102"/>
      <c r="D4" s="102"/>
      <c r="E4" s="102"/>
      <c r="F4" s="102"/>
      <c r="G4" s="102"/>
      <c r="H4" s="103"/>
      <c r="I4" s="1"/>
    </row>
    <row r="5" spans="1:9" x14ac:dyDescent="0.25">
      <c r="A5" s="1"/>
      <c r="B5" s="104" t="s">
        <v>36</v>
      </c>
      <c r="C5" s="105"/>
      <c r="D5" s="105"/>
      <c r="E5" s="105"/>
      <c r="F5" s="106"/>
      <c r="G5" s="47">
        <v>13610540</v>
      </c>
      <c r="H5" s="14" t="s">
        <v>3</v>
      </c>
      <c r="I5" s="1"/>
    </row>
    <row r="6" spans="1:9" x14ac:dyDescent="0.25">
      <c r="A6" s="1"/>
      <c r="B6" s="104" t="s">
        <v>37</v>
      </c>
      <c r="C6" s="105"/>
      <c r="D6" s="105"/>
      <c r="E6" s="105"/>
      <c r="F6" s="106"/>
      <c r="G6" s="22">
        <f>G5*'Fane 13. Nøgletal'!C33</f>
        <v>272210.8</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1" t="s">
        <v>45</v>
      </c>
      <c r="C9" s="102"/>
      <c r="D9" s="102"/>
      <c r="E9" s="102"/>
      <c r="F9" s="102"/>
      <c r="G9" s="102"/>
      <c r="H9" s="103"/>
      <c r="I9" s="1"/>
    </row>
    <row r="10" spans="1:9" x14ac:dyDescent="0.25">
      <c r="A10" s="1"/>
      <c r="B10" s="104" t="s">
        <v>38</v>
      </c>
      <c r="C10" s="105"/>
      <c r="D10" s="105"/>
      <c r="E10" s="105"/>
      <c r="F10" s="106"/>
      <c r="G10" s="22">
        <f>(G5-G6)*(1+'Fane 13. Nøgletal'!C9)</f>
        <v>13507725.980839998</v>
      </c>
      <c r="H10" s="14" t="s">
        <v>3</v>
      </c>
      <c r="I10" s="1"/>
    </row>
    <row r="11" spans="1:9" x14ac:dyDescent="0.25">
      <c r="A11" s="1"/>
      <c r="B11" s="107" t="s">
        <v>228</v>
      </c>
      <c r="C11" s="108"/>
      <c r="D11" s="108"/>
      <c r="E11" s="108"/>
      <c r="F11" s="109"/>
      <c r="G11" s="47">
        <v>0</v>
      </c>
      <c r="H11" s="14" t="s">
        <v>3</v>
      </c>
      <c r="I11" s="1"/>
    </row>
    <row r="12" spans="1:9" x14ac:dyDescent="0.25">
      <c r="A12" s="1"/>
      <c r="B12" s="104" t="s">
        <v>39</v>
      </c>
      <c r="C12" s="105"/>
      <c r="D12" s="105"/>
      <c r="E12" s="105"/>
      <c r="F12" s="106"/>
      <c r="G12" s="22">
        <f>(G10+G11)*'Fane 13. Nøgletal'!C33</f>
        <v>270154.51961679995</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1" t="s">
        <v>46</v>
      </c>
      <c r="C15" s="102"/>
      <c r="D15" s="102"/>
      <c r="E15" s="102"/>
      <c r="F15" s="102"/>
      <c r="G15" s="102"/>
      <c r="H15" s="103"/>
      <c r="I15" s="1"/>
    </row>
    <row r="16" spans="1:9" x14ac:dyDescent="0.25">
      <c r="A16" s="1"/>
      <c r="B16" s="104" t="s">
        <v>40</v>
      </c>
      <c r="C16" s="105"/>
      <c r="D16" s="105"/>
      <c r="E16" s="105"/>
      <c r="F16" s="106"/>
      <c r="G16" s="22">
        <f>(G10+G11-G12)*(1+'Fane 13. Nøgletal'!C11)</f>
        <v>13461286.418917868</v>
      </c>
      <c r="H16" s="14" t="s">
        <v>3</v>
      </c>
      <c r="I16" s="1"/>
    </row>
    <row r="17" spans="1:9" x14ac:dyDescent="0.25">
      <c r="A17" s="1"/>
      <c r="B17" s="104" t="s">
        <v>100</v>
      </c>
      <c r="C17" s="105"/>
      <c r="D17" s="105"/>
      <c r="E17" s="105"/>
      <c r="F17" s="106"/>
      <c r="G17" s="47">
        <v>0.32224009438333751</v>
      </c>
      <c r="H17" s="14" t="s">
        <v>3</v>
      </c>
      <c r="I17" s="1"/>
    </row>
    <row r="18" spans="1:9" x14ac:dyDescent="0.25">
      <c r="A18" s="1"/>
      <c r="B18" s="107" t="s">
        <v>229</v>
      </c>
      <c r="C18" s="108"/>
      <c r="D18" s="108"/>
      <c r="E18" s="108"/>
      <c r="F18" s="109"/>
      <c r="G18" s="47">
        <v>0</v>
      </c>
      <c r="H18" s="14" t="s">
        <v>3</v>
      </c>
      <c r="I18" s="1"/>
    </row>
    <row r="19" spans="1:9" x14ac:dyDescent="0.25">
      <c r="A19" s="1"/>
      <c r="B19" s="104" t="s">
        <v>41</v>
      </c>
      <c r="C19" s="105"/>
      <c r="D19" s="105"/>
      <c r="E19" s="105"/>
      <c r="F19" s="106"/>
      <c r="G19" s="22">
        <f>SUM(G16:G18)*'Fane 13. Nøgletal'!C33</f>
        <v>269225.73482315923</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1" t="s">
        <v>47</v>
      </c>
      <c r="C22" s="102"/>
      <c r="D22" s="102"/>
      <c r="E22" s="102"/>
      <c r="F22" s="102"/>
      <c r="G22" s="102"/>
      <c r="H22" s="103"/>
      <c r="I22" s="1"/>
    </row>
    <row r="23" spans="1:9" x14ac:dyDescent="0.25">
      <c r="A23" s="1"/>
      <c r="B23" s="104" t="s">
        <v>42</v>
      </c>
      <c r="C23" s="105"/>
      <c r="D23" s="105"/>
      <c r="E23" s="105"/>
      <c r="F23" s="106"/>
      <c r="G23" s="22">
        <f>(SUM(G16:G18)-G19)*(1+'Fane 13. Nøgletal'!C11)</f>
        <v>13415006.83734186</v>
      </c>
      <c r="H23" s="14" t="s">
        <v>3</v>
      </c>
      <c r="I23" s="1"/>
    </row>
    <row r="24" spans="1:9" x14ac:dyDescent="0.25">
      <c r="A24" s="1"/>
      <c r="B24" s="107" t="s">
        <v>230</v>
      </c>
      <c r="C24" s="108"/>
      <c r="D24" s="108"/>
      <c r="E24" s="108"/>
      <c r="F24" s="109"/>
      <c r="G24" s="47">
        <v>0</v>
      </c>
      <c r="H24" s="14" t="s">
        <v>3</v>
      </c>
      <c r="I24" s="1"/>
    </row>
    <row r="25" spans="1:9" x14ac:dyDescent="0.25">
      <c r="A25" s="1"/>
      <c r="B25" s="104" t="s">
        <v>43</v>
      </c>
      <c r="C25" s="105"/>
      <c r="D25" s="105"/>
      <c r="E25" s="105"/>
      <c r="F25" s="106"/>
      <c r="G25" s="22">
        <f>(G23+G24)*'Fane 13. Nøgletal'!C33</f>
        <v>268300.13674683718</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1" t="s">
        <v>121</v>
      </c>
      <c r="C28" s="102"/>
      <c r="D28" s="102"/>
      <c r="E28" s="102"/>
      <c r="F28" s="102"/>
      <c r="G28" s="102"/>
      <c r="H28" s="103"/>
      <c r="I28" s="1"/>
    </row>
    <row r="29" spans="1:9" x14ac:dyDescent="0.25">
      <c r="A29" s="1"/>
      <c r="B29" s="104" t="s">
        <v>50</v>
      </c>
      <c r="C29" s="105"/>
      <c r="D29" s="105"/>
      <c r="E29" s="105"/>
      <c r="F29" s="106"/>
      <c r="G29" s="22">
        <f>(G23+G24-G25)*(1+'Fane 13. Nøgletal'!C13)</f>
        <v>13307096.522342281</v>
      </c>
      <c r="H29" s="14" t="s">
        <v>3</v>
      </c>
      <c r="I29" s="1"/>
    </row>
    <row r="30" spans="1:9" x14ac:dyDescent="0.25">
      <c r="A30" s="1"/>
      <c r="B30" s="104" t="s">
        <v>231</v>
      </c>
      <c r="C30" s="105"/>
      <c r="D30" s="105"/>
      <c r="E30" s="105"/>
      <c r="F30" s="106"/>
      <c r="G30" s="47">
        <v>0</v>
      </c>
      <c r="H30" s="14" t="s">
        <v>3</v>
      </c>
      <c r="I30" s="1"/>
    </row>
    <row r="31" spans="1:9" x14ac:dyDescent="0.25">
      <c r="A31" s="1"/>
      <c r="B31" s="104" t="s">
        <v>115</v>
      </c>
      <c r="C31" s="105"/>
      <c r="D31" s="105"/>
      <c r="E31" s="105"/>
      <c r="F31" s="106"/>
      <c r="G31" s="22">
        <f>(G29+G30)*'Fane 13. Nøgletal'!C33</f>
        <v>266141.93044684565</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1" t="s">
        <v>122</v>
      </c>
      <c r="C34" s="102"/>
      <c r="D34" s="102"/>
      <c r="E34" s="102"/>
      <c r="F34" s="102"/>
      <c r="G34" s="102"/>
      <c r="H34" s="103"/>
      <c r="I34" s="1"/>
    </row>
    <row r="35" spans="1:9" x14ac:dyDescent="0.25">
      <c r="A35" s="1"/>
      <c r="B35" s="104" t="s">
        <v>69</v>
      </c>
      <c r="C35" s="105"/>
      <c r="D35" s="105"/>
      <c r="E35" s="105"/>
      <c r="F35" s="106"/>
      <c r="G35" s="22">
        <f>(G29+G30-G31)*(1+'Fane 13. Nøgletal'!C13)</f>
        <v>13200054.237916559</v>
      </c>
      <c r="H35" s="14" t="s">
        <v>3</v>
      </c>
      <c r="I35" s="1"/>
    </row>
    <row r="36" spans="1:9" x14ac:dyDescent="0.25">
      <c r="A36" s="1"/>
      <c r="B36" s="104" t="s">
        <v>232</v>
      </c>
      <c r="C36" s="105"/>
      <c r="D36" s="105"/>
      <c r="E36" s="105"/>
      <c r="F36" s="106"/>
      <c r="G36" s="47">
        <v>0</v>
      </c>
      <c r="H36" s="14" t="s">
        <v>3</v>
      </c>
      <c r="I36" s="1"/>
    </row>
    <row r="37" spans="1:9" x14ac:dyDescent="0.25">
      <c r="A37" s="1"/>
      <c r="B37" s="104" t="s">
        <v>123</v>
      </c>
      <c r="C37" s="105"/>
      <c r="D37" s="105"/>
      <c r="E37" s="105"/>
      <c r="F37" s="106"/>
      <c r="G37" s="22">
        <f>(G35+G36)*'Fane 13. Nøgletal'!C33</f>
        <v>264001.08475833118</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1" t="s">
        <v>157</v>
      </c>
      <c r="C40" s="102"/>
      <c r="D40" s="102"/>
      <c r="E40" s="102"/>
      <c r="F40" s="102"/>
      <c r="G40" s="102"/>
      <c r="H40" s="103"/>
      <c r="I40" s="1"/>
    </row>
    <row r="41" spans="1:9" x14ac:dyDescent="0.25">
      <c r="A41" s="1"/>
      <c r="B41" s="104" t="s">
        <v>68</v>
      </c>
      <c r="C41" s="105"/>
      <c r="D41" s="105"/>
      <c r="E41" s="105"/>
      <c r="F41" s="106"/>
      <c r="G41" s="22">
        <f>(G35+G36-G37)*(1+'Fane 13. Nøgletal'!C15)</f>
        <v>13396576.645410661</v>
      </c>
      <c r="H41" s="14" t="s">
        <v>3</v>
      </c>
      <c r="I41" s="1"/>
    </row>
    <row r="42" spans="1:9" x14ac:dyDescent="0.25">
      <c r="A42" s="1"/>
      <c r="B42" s="104" t="s">
        <v>156</v>
      </c>
      <c r="C42" s="105"/>
      <c r="D42" s="105"/>
      <c r="E42" s="105"/>
      <c r="F42" s="106"/>
      <c r="G42" s="58">
        <v>0</v>
      </c>
      <c r="H42" s="14" t="s">
        <v>3</v>
      </c>
      <c r="I42" s="1"/>
    </row>
    <row r="43" spans="1:9" x14ac:dyDescent="0.25">
      <c r="A43" s="1"/>
      <c r="B43" s="104" t="s">
        <v>166</v>
      </c>
      <c r="C43" s="105"/>
      <c r="D43" s="105"/>
      <c r="E43" s="105"/>
      <c r="F43" s="106"/>
      <c r="G43" s="22">
        <f>(G41+G42)*'Fane 13. Nøgletal'!C33</f>
        <v>267931.53290821321</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1" t="s">
        <v>158</v>
      </c>
      <c r="C46" s="102"/>
      <c r="D46" s="102"/>
      <c r="E46" s="102"/>
      <c r="F46" s="102"/>
      <c r="G46" s="102"/>
      <c r="H46" s="103"/>
      <c r="I46" s="1"/>
    </row>
    <row r="47" spans="1:9" x14ac:dyDescent="0.25">
      <c r="A47" s="1"/>
      <c r="B47" s="104" t="s">
        <v>112</v>
      </c>
      <c r="C47" s="105"/>
      <c r="D47" s="105"/>
      <c r="E47" s="105"/>
      <c r="F47" s="106"/>
      <c r="G47" s="22">
        <f>(G41+G42-G43)*(1+'Fane 13. Nøgletal'!C15)</f>
        <v>13596024.878507536</v>
      </c>
      <c r="H47" s="14" t="s">
        <v>3</v>
      </c>
      <c r="I47" s="1"/>
    </row>
    <row r="48" spans="1:9" x14ac:dyDescent="0.25">
      <c r="A48" s="1"/>
      <c r="B48" s="104" t="s">
        <v>206</v>
      </c>
      <c r="C48" s="105"/>
      <c r="D48" s="105"/>
      <c r="E48" s="105"/>
      <c r="F48" s="106"/>
      <c r="G48" s="55">
        <f>('Fane 2.1. Økonomisk ramme 2024'!C9+'Fane 2.1. Økonomisk ramme 2024'!C11+'Fane 2.1. Økonomisk ramme 2024'!C13)*(1+'Fane 13. Nøgletal'!C16)</f>
        <v>0</v>
      </c>
      <c r="H48" s="14" t="s">
        <v>3</v>
      </c>
      <c r="I48" s="1"/>
    </row>
    <row r="49" spans="1:9" x14ac:dyDescent="0.25">
      <c r="A49" s="1"/>
      <c r="B49" s="104" t="s">
        <v>167</v>
      </c>
      <c r="C49" s="105"/>
      <c r="D49" s="105"/>
      <c r="E49" s="105"/>
      <c r="F49" s="106"/>
      <c r="G49" s="22">
        <f>G47*'Fane 13. Nøgletal'!C33+G48*'Fane 13. Nøgletal'!C33</f>
        <v>271920.49757015071</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1" t="s">
        <v>133</v>
      </c>
      <c r="C52" s="102"/>
      <c r="D52" s="102"/>
      <c r="E52" s="102"/>
      <c r="F52" s="102"/>
      <c r="G52" s="102"/>
      <c r="H52" s="103"/>
      <c r="I52" s="1"/>
    </row>
    <row r="53" spans="1:9" x14ac:dyDescent="0.25">
      <c r="A53" s="1"/>
      <c r="B53" s="104" t="s">
        <v>134</v>
      </c>
      <c r="C53" s="105"/>
      <c r="D53" s="105"/>
      <c r="E53" s="105"/>
      <c r="F53" s="106"/>
      <c r="G53" s="22">
        <f>(G47+G48-G49)*(1+'Fane 13. Nøgletal'!C16)</f>
        <v>14400692.014917124</v>
      </c>
      <c r="H53" s="14" t="s">
        <v>3</v>
      </c>
      <c r="I53" s="1"/>
    </row>
    <row r="54" spans="1:9" x14ac:dyDescent="0.25">
      <c r="A54" s="1"/>
      <c r="B54" s="104" t="s">
        <v>135</v>
      </c>
      <c r="C54" s="105"/>
      <c r="D54" s="105"/>
      <c r="E54" s="105"/>
      <c r="F54" s="106"/>
      <c r="G54" s="22">
        <f>(G53)*'Fane 13. Nøgletal'!C33</f>
        <v>288013.84029834246</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1" t="s">
        <v>144</v>
      </c>
      <c r="C57" s="102"/>
      <c r="D57" s="102"/>
      <c r="E57" s="102"/>
      <c r="F57" s="102"/>
      <c r="G57" s="102"/>
      <c r="H57" s="103"/>
      <c r="I57" s="1"/>
    </row>
    <row r="58" spans="1:9" x14ac:dyDescent="0.25">
      <c r="A58" s="1"/>
      <c r="B58" s="104" t="s">
        <v>145</v>
      </c>
      <c r="C58" s="105"/>
      <c r="D58" s="105"/>
      <c r="E58" s="105"/>
      <c r="F58" s="106"/>
      <c r="G58" s="22">
        <f>(G53-G54)*(1+'Fane 13. Nøgletal'!C16)</f>
        <v>15252982.571127979</v>
      </c>
      <c r="H58" s="14" t="s">
        <v>3</v>
      </c>
      <c r="I58" s="1"/>
    </row>
    <row r="59" spans="1:9" x14ac:dyDescent="0.25">
      <c r="A59" s="1"/>
      <c r="B59" s="104" t="s">
        <v>146</v>
      </c>
      <c r="C59" s="105"/>
      <c r="D59" s="105"/>
      <c r="E59" s="105"/>
      <c r="F59" s="106"/>
      <c r="G59" s="22">
        <f>(G58)*'Fane 13. Nøgletal'!C33</f>
        <v>305059.65142255957</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1" t="s">
        <v>220</v>
      </c>
      <c r="C62" s="102"/>
      <c r="D62" s="102"/>
      <c r="E62" s="102"/>
      <c r="F62" s="102"/>
      <c r="G62" s="102"/>
      <c r="H62" s="103"/>
      <c r="I62" s="1"/>
    </row>
    <row r="63" spans="1:9" x14ac:dyDescent="0.25">
      <c r="A63" s="1"/>
      <c r="B63" s="104" t="s">
        <v>221</v>
      </c>
      <c r="C63" s="105"/>
      <c r="D63" s="105"/>
      <c r="E63" s="105"/>
      <c r="F63" s="106"/>
      <c r="G63" s="22">
        <f>(G58-G59)*(1+'Fane 13. Nøgletal'!C16)</f>
        <v>16155715.091617616</v>
      </c>
      <c r="H63" s="14" t="s">
        <v>3</v>
      </c>
      <c r="I63" s="1"/>
    </row>
    <row r="64" spans="1:9" x14ac:dyDescent="0.25">
      <c r="A64" s="1"/>
      <c r="B64" s="104" t="s">
        <v>222</v>
      </c>
      <c r="C64" s="105"/>
      <c r="D64" s="105"/>
      <c r="E64" s="105"/>
      <c r="F64" s="106"/>
      <c r="G64" s="22">
        <f>(G63)*'Fane 13. Nøgletal'!C33</f>
        <v>323114.3018323523</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ua5b86PV9VHDXH2u2pD/8NvrplhgYosmMNauwa2aOXEwE1VA396jvxqf6EOLgZPmD6ayZGBiwmg//WiwagRIeA==" saltValue="Nm2S94LiZorYSOhDVLb5tw=="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85" zoomScaleNormal="120" zoomScalePageLayoutView="85"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1" t="s">
        <v>48</v>
      </c>
      <c r="C4" s="102"/>
      <c r="D4" s="102"/>
      <c r="E4" s="102"/>
      <c r="F4" s="102"/>
      <c r="G4" s="102"/>
      <c r="H4" s="103"/>
      <c r="I4" s="1"/>
    </row>
    <row r="5" spans="1:9" x14ac:dyDescent="0.25">
      <c r="A5" s="1"/>
      <c r="B5" s="104" t="s">
        <v>51</v>
      </c>
      <c r="C5" s="105"/>
      <c r="D5" s="105"/>
      <c r="E5" s="105"/>
      <c r="F5" s="106"/>
      <c r="G5" s="47">
        <v>17261033</v>
      </c>
      <c r="H5" s="14" t="s">
        <v>3</v>
      </c>
      <c r="I5" s="1"/>
    </row>
    <row r="6" spans="1:9" x14ac:dyDescent="0.25">
      <c r="A6" s="1"/>
      <c r="B6" s="104" t="s">
        <v>49</v>
      </c>
      <c r="C6" s="105"/>
      <c r="D6" s="105"/>
      <c r="E6" s="105"/>
      <c r="F6" s="106"/>
      <c r="G6" s="22">
        <f>G5*'Fane 13. Nøgletal'!C21</f>
        <v>157075.40030000001</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1" t="s">
        <v>52</v>
      </c>
      <c r="C9" s="102"/>
      <c r="D9" s="102"/>
      <c r="E9" s="102"/>
      <c r="F9" s="102"/>
      <c r="G9" s="102"/>
      <c r="H9" s="103"/>
      <c r="I9" s="1"/>
    </row>
    <row r="10" spans="1:9" x14ac:dyDescent="0.25">
      <c r="A10" s="1"/>
      <c r="B10" s="104" t="s">
        <v>53</v>
      </c>
      <c r="C10" s="105"/>
      <c r="D10" s="105"/>
      <c r="E10" s="105"/>
      <c r="F10" s="106"/>
      <c r="G10" s="22">
        <f>(G5-G6)*(1+'Fane 13. Nøgletal'!C9)</f>
        <v>17321177.861216187</v>
      </c>
      <c r="H10" s="14" t="s">
        <v>3</v>
      </c>
      <c r="I10" s="1"/>
    </row>
    <row r="11" spans="1:9" x14ac:dyDescent="0.25">
      <c r="A11" s="1"/>
      <c r="B11" s="107" t="s">
        <v>54</v>
      </c>
      <c r="C11" s="108"/>
      <c r="D11" s="108"/>
      <c r="E11" s="108"/>
      <c r="F11" s="109"/>
      <c r="G11" s="48">
        <v>0</v>
      </c>
      <c r="H11" s="14" t="s">
        <v>3</v>
      </c>
      <c r="I11" s="1"/>
    </row>
    <row r="12" spans="1:9" x14ac:dyDescent="0.25">
      <c r="A12" s="1"/>
      <c r="B12" s="104" t="s">
        <v>55</v>
      </c>
      <c r="C12" s="105"/>
      <c r="D12" s="105"/>
      <c r="E12" s="105"/>
      <c r="F12" s="106"/>
      <c r="G12" s="22">
        <f>G10*'Fane 13. Nøgletal'!C21+G11*'Fane 13. Nøgletal'!C22</f>
        <v>157622.71853706733</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1" t="s">
        <v>56</v>
      </c>
      <c r="C15" s="102"/>
      <c r="D15" s="102"/>
      <c r="E15" s="102"/>
      <c r="F15" s="102"/>
      <c r="G15" s="102"/>
      <c r="H15" s="103"/>
      <c r="I15" s="1"/>
    </row>
    <row r="16" spans="1:9" x14ac:dyDescent="0.25">
      <c r="A16" s="1"/>
      <c r="B16" s="104" t="s">
        <v>57</v>
      </c>
      <c r="C16" s="105"/>
      <c r="D16" s="105"/>
      <c r="E16" s="105"/>
      <c r="F16" s="106"/>
      <c r="G16" s="22">
        <f>(G10+G11-G12)*(1+'Fane 13. Nøgletal'!C11)</f>
        <v>17453619.224590398</v>
      </c>
      <c r="H16" s="14" t="s">
        <v>3</v>
      </c>
      <c r="I16" s="1"/>
    </row>
    <row r="17" spans="1:9" x14ac:dyDescent="0.25">
      <c r="A17" s="1"/>
      <c r="B17" s="104" t="s">
        <v>101</v>
      </c>
      <c r="C17" s="105"/>
      <c r="D17" s="105"/>
      <c r="E17" s="105"/>
      <c r="F17" s="106"/>
      <c r="G17" s="47">
        <v>128347.32633447282</v>
      </c>
      <c r="H17" s="14" t="s">
        <v>3</v>
      </c>
      <c r="I17" s="1"/>
    </row>
    <row r="18" spans="1:9" x14ac:dyDescent="0.25">
      <c r="A18" s="1"/>
      <c r="B18" s="107" t="s">
        <v>58</v>
      </c>
      <c r="C18" s="108"/>
      <c r="D18" s="108"/>
      <c r="E18" s="108"/>
      <c r="F18" s="109"/>
      <c r="G18" s="47">
        <v>3527698.2634949791</v>
      </c>
      <c r="H18" s="14" t="s">
        <v>3</v>
      </c>
      <c r="I18" s="1"/>
    </row>
    <row r="19" spans="1:9" x14ac:dyDescent="0.25">
      <c r="A19" s="1"/>
      <c r="B19" s="104" t="s">
        <v>59</v>
      </c>
      <c r="C19" s="105"/>
      <c r="D19" s="105"/>
      <c r="E19" s="105"/>
      <c r="F19" s="106"/>
      <c r="G19" s="22">
        <f>(G16+G17+G18)*'Fane 13. Nøgletal'!C23</f>
        <v>183654.08388545268</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1" t="s">
        <v>60</v>
      </c>
      <c r="C22" s="102"/>
      <c r="D22" s="102"/>
      <c r="E22" s="102"/>
      <c r="F22" s="102"/>
      <c r="G22" s="102"/>
      <c r="H22" s="103"/>
      <c r="I22" s="1"/>
    </row>
    <row r="23" spans="1:9" x14ac:dyDescent="0.25">
      <c r="A23" s="1"/>
      <c r="B23" s="104" t="s">
        <v>61</v>
      </c>
      <c r="C23" s="105"/>
      <c r="D23" s="105"/>
      <c r="E23" s="105"/>
      <c r="F23" s="106"/>
      <c r="G23" s="22">
        <f>(SUM(G16:G18)-G19)*(1+'Fane 13. Nøgletal'!C11)</f>
        <v>21279660.311880428</v>
      </c>
      <c r="H23" s="14" t="s">
        <v>3</v>
      </c>
      <c r="I23" s="1"/>
    </row>
    <row r="24" spans="1:9" x14ac:dyDescent="0.25">
      <c r="A24" s="1"/>
      <c r="B24" s="107" t="s">
        <v>62</v>
      </c>
      <c r="C24" s="108"/>
      <c r="D24" s="108"/>
      <c r="E24" s="108"/>
      <c r="F24" s="109"/>
      <c r="G24" s="47">
        <v>19142.916731712186</v>
      </c>
      <c r="H24" s="14" t="s">
        <v>3</v>
      </c>
      <c r="I24" s="1"/>
    </row>
    <row r="25" spans="1:9" x14ac:dyDescent="0.25">
      <c r="A25" s="1"/>
      <c r="B25" s="104" t="s">
        <v>63</v>
      </c>
      <c r="C25" s="105"/>
      <c r="D25" s="105"/>
      <c r="E25" s="105"/>
      <c r="F25" s="106"/>
      <c r="G25" s="22">
        <f>G23*'Fane 13. Nøgletal'!C23+G24*'Fane 13. Nøgletal'!C24</f>
        <v>185676.70354854033</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1" t="s">
        <v>119</v>
      </c>
      <c r="C28" s="102"/>
      <c r="D28" s="102"/>
      <c r="E28" s="102"/>
      <c r="F28" s="102"/>
      <c r="G28" s="102"/>
      <c r="H28" s="103"/>
      <c r="I28" s="1"/>
    </row>
    <row r="29" spans="1:9" x14ac:dyDescent="0.25">
      <c r="A29" s="1"/>
      <c r="B29" s="104" t="s">
        <v>64</v>
      </c>
      <c r="C29" s="105"/>
      <c r="D29" s="105"/>
      <c r="E29" s="105"/>
      <c r="F29" s="106"/>
      <c r="G29" s="22">
        <f>(G23+G24-G25)*(1+'Fane 13. Nøgletal'!C13)</f>
        <v>21370706.668669377</v>
      </c>
      <c r="H29" s="14" t="s">
        <v>3</v>
      </c>
      <c r="I29" s="1"/>
    </row>
    <row r="30" spans="1:9" x14ac:dyDescent="0.25">
      <c r="A30" s="1"/>
      <c r="B30" s="104" t="s">
        <v>113</v>
      </c>
      <c r="C30" s="105"/>
      <c r="D30" s="105"/>
      <c r="E30" s="105"/>
      <c r="F30" s="106"/>
      <c r="G30" s="47">
        <v>128929.22602559999</v>
      </c>
      <c r="H30" s="14" t="s">
        <v>3</v>
      </c>
      <c r="I30" s="1"/>
    </row>
    <row r="31" spans="1:9" x14ac:dyDescent="0.25">
      <c r="A31" s="1"/>
      <c r="B31" s="104" t="s">
        <v>120</v>
      </c>
      <c r="C31" s="105"/>
      <c r="D31" s="105"/>
      <c r="E31" s="105"/>
      <c r="F31" s="106"/>
      <c r="G31" s="22">
        <f>(G29+G30)*'Fane 13. Nøgletal'!C25</f>
        <v>591239.98710411182</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1" t="s">
        <v>124</v>
      </c>
      <c r="C34" s="102"/>
      <c r="D34" s="102"/>
      <c r="E34" s="102"/>
      <c r="F34" s="102"/>
      <c r="G34" s="102"/>
      <c r="H34" s="103"/>
      <c r="I34" s="1"/>
    </row>
    <row r="35" spans="1:9" x14ac:dyDescent="0.25">
      <c r="A35" s="1"/>
      <c r="B35" s="104" t="s">
        <v>67</v>
      </c>
      <c r="C35" s="105"/>
      <c r="D35" s="105"/>
      <c r="E35" s="105"/>
      <c r="F35" s="106"/>
      <c r="G35" s="22">
        <f>(G29+G30-G31)*(1+'Fane 13. Nøgletal'!C13)</f>
        <v>21163478.337663475</v>
      </c>
      <c r="H35" s="14" t="s">
        <v>3</v>
      </c>
      <c r="I35" s="1"/>
    </row>
    <row r="36" spans="1:9" x14ac:dyDescent="0.25">
      <c r="A36" s="1"/>
      <c r="B36" s="104" t="s">
        <v>129</v>
      </c>
      <c r="C36" s="105"/>
      <c r="D36" s="105"/>
      <c r="E36" s="105"/>
      <c r="F36" s="106"/>
      <c r="G36" s="47">
        <v>10627.797776620002</v>
      </c>
      <c r="H36" s="14" t="s">
        <v>3</v>
      </c>
      <c r="I36" s="1"/>
    </row>
    <row r="37" spans="1:9" x14ac:dyDescent="0.25">
      <c r="A37" s="1"/>
      <c r="B37" s="104" t="s">
        <v>125</v>
      </c>
      <c r="C37" s="105"/>
      <c r="D37" s="105"/>
      <c r="E37" s="105"/>
      <c r="F37" s="106"/>
      <c r="G37" s="22">
        <f>G35*'Fane 13. Nøgletal'!C25+G36*'Fane 13. Nøgletal'!C26</f>
        <v>582152.94569283957</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1" t="s">
        <v>159</v>
      </c>
      <c r="C40" s="102"/>
      <c r="D40" s="102"/>
      <c r="E40" s="102"/>
      <c r="F40" s="102"/>
      <c r="G40" s="102"/>
      <c r="H40" s="103"/>
      <c r="I40" s="1"/>
    </row>
    <row r="41" spans="1:9" x14ac:dyDescent="0.25">
      <c r="A41" s="1"/>
      <c r="B41" s="104" t="s">
        <v>66</v>
      </c>
      <c r="C41" s="105"/>
      <c r="D41" s="105"/>
      <c r="E41" s="105"/>
      <c r="F41" s="106"/>
      <c r="G41" s="22">
        <f>(G35+G36-G37)*(1+'Fane 13. Nøgletal'!C15)</f>
        <v>21325026.72330226</v>
      </c>
      <c r="H41" s="14" t="s">
        <v>3</v>
      </c>
      <c r="I41" s="1"/>
    </row>
    <row r="42" spans="1:9" x14ac:dyDescent="0.25">
      <c r="A42" s="1"/>
      <c r="B42" s="104" t="s">
        <v>169</v>
      </c>
      <c r="C42" s="105"/>
      <c r="D42" s="105"/>
      <c r="E42" s="105"/>
      <c r="F42" s="106"/>
      <c r="G42" s="9">
        <v>0</v>
      </c>
      <c r="H42" s="14" t="s">
        <v>3</v>
      </c>
      <c r="I42" s="1"/>
    </row>
    <row r="43" spans="1:9" x14ac:dyDescent="0.25">
      <c r="A43" s="1"/>
      <c r="B43" s="104" t="s">
        <v>65</v>
      </c>
      <c r="C43" s="105"/>
      <c r="D43" s="105"/>
      <c r="E43" s="105"/>
      <c r="F43" s="106"/>
      <c r="G43" s="58">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1" t="s">
        <v>160</v>
      </c>
      <c r="C46" s="102"/>
      <c r="D46" s="102"/>
      <c r="E46" s="102"/>
      <c r="F46" s="102"/>
      <c r="G46" s="102"/>
      <c r="H46" s="103"/>
      <c r="I46" s="1"/>
    </row>
    <row r="47" spans="1:9" x14ac:dyDescent="0.25">
      <c r="A47" s="1"/>
      <c r="B47" s="104" t="s">
        <v>114</v>
      </c>
      <c r="C47" s="105"/>
      <c r="D47" s="105"/>
      <c r="E47" s="105"/>
      <c r="F47" s="106"/>
      <c r="G47" s="22">
        <f>(G41+G42-G43)*(1+'Fane 13. Nøgletal'!C15)</f>
        <v>22084197.674651824</v>
      </c>
      <c r="H47" s="14" t="s">
        <v>3</v>
      </c>
      <c r="I47" s="1"/>
    </row>
    <row r="48" spans="1:9" x14ac:dyDescent="0.25">
      <c r="A48" s="1"/>
      <c r="B48" s="104" t="s">
        <v>210</v>
      </c>
      <c r="C48" s="105"/>
      <c r="D48" s="105"/>
      <c r="E48" s="105"/>
      <c r="F48" s="106"/>
      <c r="G48" s="55">
        <f>('Fane 2.1. Økonomisk ramme 2024'!C10+'Fane 2.1. Økonomisk ramme 2024'!C12+'Fane 2.1. Økonomisk ramme 2024'!C14)*(1+'Fane 13. Nøgletal'!C16)</f>
        <v>0</v>
      </c>
      <c r="H48" s="14" t="s">
        <v>3</v>
      </c>
      <c r="I48" s="1"/>
    </row>
    <row r="49" spans="1:9" x14ac:dyDescent="0.25">
      <c r="A49" s="1"/>
      <c r="B49" s="104" t="s">
        <v>211</v>
      </c>
      <c r="C49" s="105"/>
      <c r="D49" s="105"/>
      <c r="E49" s="105"/>
      <c r="F49" s="106"/>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1" t="s">
        <v>130</v>
      </c>
      <c r="C52" s="102"/>
      <c r="D52" s="102"/>
      <c r="E52" s="102"/>
      <c r="F52" s="102"/>
      <c r="G52" s="102"/>
      <c r="H52" s="103"/>
      <c r="I52" s="1"/>
    </row>
    <row r="53" spans="1:9" x14ac:dyDescent="0.25">
      <c r="A53" s="1"/>
      <c r="B53" s="104" t="s">
        <v>131</v>
      </c>
      <c r="C53" s="105"/>
      <c r="D53" s="105"/>
      <c r="E53" s="105"/>
      <c r="F53" s="106"/>
      <c r="G53" s="22">
        <f>(G47+G48-G49)*(1+'Fane 13. Nøgletal'!C16)</f>
        <v>23868600.846763693</v>
      </c>
      <c r="H53" s="14" t="s">
        <v>3</v>
      </c>
      <c r="I53" s="1"/>
    </row>
    <row r="54" spans="1:9" x14ac:dyDescent="0.25">
      <c r="A54" s="1"/>
      <c r="B54" s="104" t="s">
        <v>132</v>
      </c>
      <c r="C54" s="105"/>
      <c r="D54" s="105"/>
      <c r="E54" s="105"/>
      <c r="F54" s="106"/>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1" t="s">
        <v>147</v>
      </c>
      <c r="C57" s="102"/>
      <c r="D57" s="102"/>
      <c r="E57" s="102"/>
      <c r="F57" s="102"/>
      <c r="G57" s="102"/>
      <c r="H57" s="103"/>
      <c r="I57" s="1"/>
    </row>
    <row r="58" spans="1:9" x14ac:dyDescent="0.25">
      <c r="A58" s="1"/>
      <c r="B58" s="104" t="s">
        <v>148</v>
      </c>
      <c r="C58" s="105"/>
      <c r="D58" s="105"/>
      <c r="E58" s="105"/>
      <c r="F58" s="106"/>
      <c r="G58" s="22">
        <f>(G53-G54)*(1+'Fane 13. Nøgletal'!C16)</f>
        <v>25797183.795182198</v>
      </c>
      <c r="H58" s="14" t="s">
        <v>3</v>
      </c>
      <c r="I58" s="1"/>
    </row>
    <row r="59" spans="1:9" x14ac:dyDescent="0.25">
      <c r="A59" s="1"/>
      <c r="B59" s="104" t="s">
        <v>149</v>
      </c>
      <c r="C59" s="105"/>
      <c r="D59" s="105"/>
      <c r="E59" s="105"/>
      <c r="F59" s="106"/>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1" t="s">
        <v>223</v>
      </c>
      <c r="C62" s="102"/>
      <c r="D62" s="102"/>
      <c r="E62" s="102"/>
      <c r="F62" s="102"/>
      <c r="G62" s="102"/>
      <c r="H62" s="103"/>
      <c r="I62" s="1"/>
    </row>
    <row r="63" spans="1:9" x14ac:dyDescent="0.25">
      <c r="A63" s="1"/>
      <c r="B63" s="104" t="s">
        <v>224</v>
      </c>
      <c r="C63" s="105"/>
      <c r="D63" s="105"/>
      <c r="E63" s="105"/>
      <c r="F63" s="106"/>
      <c r="G63" s="22">
        <f>(G58-G59)*(1+'Fane 13. Nøgletal'!C16)</f>
        <v>27881596.24583292</v>
      </c>
      <c r="H63" s="14" t="s">
        <v>3</v>
      </c>
      <c r="I63" s="1"/>
    </row>
    <row r="64" spans="1:9" x14ac:dyDescent="0.25">
      <c r="A64" s="1"/>
      <c r="B64" s="104" t="s">
        <v>225</v>
      </c>
      <c r="C64" s="105"/>
      <c r="D64" s="105"/>
      <c r="E64" s="105"/>
      <c r="F64" s="106"/>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RVvKURX3LSLVLmPN7AKxKVhiGbKCW8zwcs2TF8F8R01mL0BfhDgipmsv/zcMPhpqZboJMe+TyQHaIiVAomu26Q==" saltValue="l8VRapcKnoZHg2E360poY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1" t="s">
        <v>9</v>
      </c>
      <c r="C8" s="102"/>
      <c r="D8" s="102"/>
      <c r="E8" s="102"/>
      <c r="F8" s="102"/>
      <c r="G8" s="103"/>
      <c r="H8" s="1"/>
    </row>
    <row r="9" spans="1:8" x14ac:dyDescent="0.25">
      <c r="A9" s="1"/>
      <c r="B9" s="65" t="s">
        <v>150</v>
      </c>
      <c r="C9" s="66"/>
      <c r="D9" s="66"/>
      <c r="E9" s="66"/>
      <c r="F9" s="67"/>
      <c r="G9" s="140">
        <v>9.9258894296820454E-3</v>
      </c>
      <c r="H9" s="1"/>
    </row>
    <row r="10" spans="1:8" x14ac:dyDescent="0.25">
      <c r="A10" s="1"/>
      <c r="B10" s="51"/>
      <c r="C10" s="52"/>
      <c r="D10" s="52"/>
      <c r="E10" s="52"/>
      <c r="F10" s="52"/>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P6MeOxy/33WU9wLivjAThj2K1OiEVF7oRQf3HK8W3JhVyecKQWXLuIXMIWVKusj4TEmF01TqLbuGz3pKV6B2sg==" saltValue="xfB8jcS13yJMbLbQud8AIg=="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2023-09-06T10:45:23Z</dcterms:modified>
</cp:coreProperties>
</file>