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stforsyning Spildevand AS (S10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2" i="40" l="1"/>
  <c r="E16" i="40" l="1"/>
  <c r="G26" i="30"/>
  <c r="E25" i="32" l="1"/>
  <c r="E30" i="32" s="1"/>
  <c r="E32" i="32" s="1"/>
  <c r="C32" i="2" l="1"/>
  <c r="C26" i="15"/>
  <c r="C15" i="19"/>
  <c r="G31" i="36" l="1"/>
  <c r="G23" i="36"/>
  <c r="G30" i="36" s="1"/>
  <c r="G5" i="36"/>
  <c r="G9" i="36" s="1"/>
  <c r="G34" i="30"/>
  <c r="G12" i="36" l="1"/>
  <c r="G16" i="36" s="1"/>
  <c r="G18" i="36" l="1"/>
  <c r="G22" i="36"/>
  <c r="G29" i="36" s="1"/>
  <c r="G33" i="36" l="1"/>
  <c r="E23" i="27" s="1"/>
  <c r="G37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7" i="36" s="1"/>
  <c r="C29" i="21"/>
  <c r="C30" i="21" s="1"/>
  <c r="G61" i="30" s="1"/>
  <c r="E23" i="21"/>
  <c r="E24" i="21" s="1"/>
  <c r="G51" i="36" s="1"/>
  <c r="C23" i="21"/>
  <c r="C24" i="21" s="1"/>
  <c r="G55" i="30" s="1"/>
  <c r="E17" i="21"/>
  <c r="E18" i="21" s="1"/>
  <c r="C17" i="21"/>
  <c r="C18" i="21" s="1"/>
  <c r="G48" i="30" s="1"/>
  <c r="G45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5" i="36" l="1"/>
  <c r="G15" i="30"/>
  <c r="G19" i="30" l="1"/>
  <c r="G25" i="30" s="1"/>
  <c r="G21" i="30" l="1"/>
  <c r="G28" i="30"/>
  <c r="G32" i="30"/>
  <c r="F11" i="11" l="1"/>
  <c r="C10" i="37" s="1"/>
  <c r="C12" i="37" s="1"/>
  <c r="C13" i="37" s="1"/>
  <c r="C10" i="2" s="1"/>
  <c r="G11" i="11"/>
  <c r="E11" i="21" l="1"/>
  <c r="C11" i="21"/>
  <c r="E11" i="29"/>
  <c r="C11" i="29"/>
  <c r="C16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2" i="37" s="1"/>
  <c r="E13" i="37" s="1"/>
  <c r="C11" i="2" s="1"/>
  <c r="G38" i="36" s="1"/>
  <c r="G40" i="30"/>
  <c r="G42" i="30" s="1"/>
  <c r="G46" i="30" s="1"/>
  <c r="G49" i="30" s="1"/>
  <c r="E22" i="27"/>
  <c r="E24" i="27" s="1"/>
  <c r="G39" i="36" l="1"/>
  <c r="C19" i="2" s="1"/>
  <c r="G44" i="36"/>
  <c r="C18" i="2"/>
  <c r="E35" i="27"/>
  <c r="C9" i="2"/>
  <c r="C14" i="15"/>
  <c r="G43" i="36" l="1"/>
  <c r="G46" i="36" s="1"/>
  <c r="C16" i="2"/>
  <c r="C17" i="2" s="1"/>
  <c r="G54" i="30"/>
  <c r="G50" i="36" l="1"/>
  <c r="G52" i="36" s="1"/>
  <c r="C14" i="22" s="1"/>
  <c r="C20" i="2"/>
  <c r="C35" i="2" s="1"/>
  <c r="C15" i="15"/>
  <c r="G56" i="30"/>
  <c r="C13" i="22" s="1"/>
  <c r="G56" i="36" l="1"/>
  <c r="G60" i="30"/>
  <c r="G62" i="30" s="1"/>
  <c r="C13" i="23" s="1"/>
  <c r="C9" i="15"/>
  <c r="C12" i="15" s="1"/>
  <c r="G58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<sst xmlns="http://schemas.openxmlformats.org/spreadsheetml/2006/main" count="717" uniqueCount="289">
  <si>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</si>
  <si>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</si>
  <si>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</si>
  <si>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</si>
  <si>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</si>
  <si>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</si>
  <si>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</si>
  <si>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</si>
  <si>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</si>
  <si>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</si>
  <si>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</si>
  <si>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</si>
  <si>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</si>
  <si>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</si>
  <si>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</si>
  <si>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</si>
  <si>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</si>
  <si>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</si>
  <si>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</si>
  <si>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</si>
  <si>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</si>
  <si>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</si>
  <si>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</si>
  <si>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</si>
  <si>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</si>
  <si>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</si>
  <si>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</si>
  <si>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</si>
  <si>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</si>
  <si>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</si>
  <si>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</si>
  <si>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</si>
  <si>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</si>
  <si>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</si>
  <si>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</si>
  <si>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</si>
  <si>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</si>
  <si>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</si>
  <si>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</si>
  <si>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</si>
  <si>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</si>
  <si>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</si>
  <si>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</si>
  <si>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</si>
  <si>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</si>
  <si>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</si>
  <si>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</si>
  <si>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</si>
  <si>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</si>
  <si>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</si>
  <si>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</si>
  <si>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</si>
  <si>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</si>
  <si>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</si>
  <si>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</si>
  <si>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</si>
  <si>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</si>
  <si>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</si>
  <si>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</si>
  <si>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</si>
  <si>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</si>
  <si>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</si>
  <si>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</si>
  <si>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</si>
  <si>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</si>
  <si>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</si>
  <si>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</si>
  <si>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</si>
  <si>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</si>
  <si>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</si>
  <si>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</si>
  <si>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</si>
  <si>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</si>
  <si>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</si>
  <si>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</si>
  <si>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</si>
  <si>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</si>
  <si>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</si>
  <si>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</si>
  <si>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</si>
  <si>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</si>
  <si>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</si>
  <si>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</si>
  <si>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</si>
  <si>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</si>
  <si>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</si>
  <si>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</si>
  <si>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</si>
  <si>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</si>
  <si>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</si>
  <si>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</si>
  <si>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</si>
  <si>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</si>
  <si>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</si>
  <si>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</si>
  <si>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</si>
  <si>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</si>
  <si>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</si>
  <si>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</si>
  <si>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</si>
  <si>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</si>
  <si>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</si>
  <si>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</si>
  <si>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</si>
  <si>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</si>
  <si>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</si>
  <si>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</si>
  <si>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</si>
  <si>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</si>
  <si>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</si>
  <si>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</si>
  <si>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</si>
  <si>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</si>
  <si>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</si>
  <si>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</si>
  <si>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</si>
  <si>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</si>
  <si>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</si>
  <si>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</si>
  <si>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</si>
  <si>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</si>
  <si>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</si>
  <si>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</si>
  <si>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</si>
  <si>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</si>
  <si>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</si>
  <si>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</si>
  <si>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</si>
  <si>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</si>
  <si>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</si>
  <si>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</si>
  <si>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</si>
  <si>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</si>
  <si>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</si>
  <si>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</si>
  <si>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</si>
  <si>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</si>
  <si>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</si>
  <si>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</si>
  <si>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</si>
  <si>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</si>
  <si>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</si>
  <si>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</si>
  <si>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</si>
  <si>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</si>
  <si>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</si>
  <si>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</si>
  <si>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</si>
  <si>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</si>
  <si>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</si>
  <si>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</si>
  <si>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</si>
  <si>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</si>
  <si>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</si>
  <si>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</si>
  <si>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</si>
  <si>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</si>
  <si>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</si>
  <si>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</si>
  <si>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</si>
  <si>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</si>
  <si>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</si>
  <si>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</si>
  <si>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</si>
  <si>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</si>
  <si>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</si>
  <si>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</si>
  <si>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</si>
  <si>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</si>
  <si>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</si>
  <si>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</si>
  <si>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</si>
  <si>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</si>
  <si>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</si>
  <si>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</si>
  <si>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</si>
  <si>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</si>
  <si>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</si>
  <si>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</si>
  <si>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</si>
  <si>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</si>
  <si>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</si>
  <si>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</si>
  <si>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</si>
  <si>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</si>
  <si>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</si>
  <si>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</si>
  <si>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</si>
  <si>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</si>
  <si>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</si>
  <si>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</si>
  <si>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</si>
  <si>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</si>
  <si>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</si>
  <si>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</si>
  <si>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</si>
  <si>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</si>
  <si>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</si>
  <si>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</si>
  <si>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</si>
  <si>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</si>
  <si>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</si>
  <si>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</si>
  <si>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</si>
  <si>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</si>
  <si>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</si>
  <si>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</si>
  <si>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</si>
  <si>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</si>
  <si>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</si>
  <si>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</si>
  <si>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</si>
  <si>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</si>
  <si>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</si>
  <si>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</si>
  <si>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</si>
  <si>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</si>
  <si>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</si>
  <si>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</si>
  <si>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</si>
  <si>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</si>
  <si>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</si>
  <si>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</si>
  <si>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</si>
  <si>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</si>
  <si>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</si>
  <si>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</si>
  <si>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</si>
  <si>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</si>
  <si>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</si>
  <si>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</si>
  <si>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</si>
  <si>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</si>
  <si>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</si>
  <si>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</si>
  <si>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</si>
  <si>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</si>
  <si>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</si>
  <si>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</si>
  <si>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</si>
  <si>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</si>
  <si>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</si>
  <si>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</si>
  <si>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</si>
  <si>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</si>
  <si>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</si>
  <si>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</si>
  <si>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</si>
  <si>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</si>
  <si>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</si>
  <si>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</si>
  <si>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</si>
  <si>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</si>
  <si>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</si>
  <si>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</si>
  <si>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</si>
  <si>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</si>
  <si>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</si>
  <si>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</si>
  <si>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</si>
  <si>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</si>
  <si>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</si>
  <si>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</si>
  <si>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</si>
  <si>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</si>
  <si>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</si>
  <si>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</si>
  <si>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</si>
  <si>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</si>
  <si>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</si>
  <si>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</si>
  <si>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</si>
  <si>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</si>
  <si>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</si>
  <si>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</si>
  <si>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</si>
  <si>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</si>
  <si>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</si>
  <si>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</si>
  <si>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</si>
  <si>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</si>
  <si>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</si>
  <si>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</si>
  <si>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</si>
  <si>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</si>
  <si>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Byggemodninger, udstykninger m.v.</t>
  </si>
  <si>
    <t>Ingen engangstillæg</t>
  </si>
  <si>
    <t>Ingen anlægsprojekter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</si>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</sst>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4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5">
      <c r="A8" s="1"/>
      <c r="B8" s="1"/>
      <c r="C8" s="4"/>
      <c r="D8" s="69" t="s">
        <v>174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0" t="s">
        <v>175</v>
      </c>
      <c r="E13" s="71"/>
      <c r="F13" s="71"/>
      <c r="G13" s="72"/>
      <c r="H13" s="1"/>
      <c r="I13" s="1"/>
    </row>
    <row r="14" spans="1:9" x14ac:dyDescent="0.45">
      <c r="A14" s="1"/>
      <c r="B14" s="1"/>
      <c r="C14" s="6" t="s">
        <v>17</v>
      </c>
      <c r="D14" s="70" t="s">
        <v>176</v>
      </c>
      <c r="E14" s="71"/>
      <c r="F14" s="71"/>
      <c r="G14" s="72"/>
      <c r="H14" s="1"/>
      <c r="I14" s="1"/>
    </row>
    <row r="15" spans="1:9" x14ac:dyDescent="0.45">
      <c r="A15" s="1"/>
      <c r="B15" s="1"/>
      <c r="C15" s="6" t="s">
        <v>37</v>
      </c>
      <c r="D15" s="70" t="s">
        <v>136</v>
      </c>
      <c r="E15" s="71"/>
      <c r="F15" s="71"/>
      <c r="G15" s="72"/>
      <c r="H15" s="1"/>
      <c r="I15" s="1"/>
    </row>
    <row r="16" spans="1:9" x14ac:dyDescent="0.45">
      <c r="A16" s="1"/>
      <c r="B16" s="1"/>
      <c r="C16" s="6" t="s">
        <v>38</v>
      </c>
      <c r="D16" s="70" t="s">
        <v>177</v>
      </c>
      <c r="E16" s="71"/>
      <c r="F16" s="71"/>
      <c r="G16" s="72"/>
      <c r="H16" s="1"/>
      <c r="I16" s="1"/>
    </row>
    <row r="17" spans="1:9" x14ac:dyDescent="0.45">
      <c r="A17" s="1"/>
      <c r="B17" s="1"/>
      <c r="C17" s="6" t="s">
        <v>132</v>
      </c>
      <c r="D17" s="70" t="s">
        <v>178</v>
      </c>
      <c r="E17" s="71"/>
      <c r="F17" s="71"/>
      <c r="G17" s="72"/>
      <c r="H17" s="1"/>
      <c r="I17" s="1"/>
    </row>
    <row r="18" spans="1:9" x14ac:dyDescent="0.45">
      <c r="A18" s="1"/>
      <c r="B18" s="1"/>
      <c r="C18" s="6" t="s">
        <v>110</v>
      </c>
      <c r="D18" s="73" t="s">
        <v>94</v>
      </c>
      <c r="E18" s="74"/>
      <c r="F18" s="74"/>
      <c r="G18" s="75"/>
      <c r="H18" s="1"/>
      <c r="I18" s="1"/>
    </row>
    <row r="19" spans="1:9" x14ac:dyDescent="0.45">
      <c r="A19" s="1"/>
      <c r="B19" s="1"/>
      <c r="C19" s="6" t="s">
        <v>111</v>
      </c>
      <c r="D19" s="73" t="s">
        <v>95</v>
      </c>
      <c r="E19" s="74"/>
      <c r="F19" s="74"/>
      <c r="G19" s="75"/>
      <c r="H19" s="1"/>
      <c r="I19" s="1"/>
    </row>
    <row r="20" spans="1:9" x14ac:dyDescent="0.4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45">
      <c r="A21" s="1"/>
      <c r="B21" s="1"/>
      <c r="C21" s="6" t="s">
        <v>112</v>
      </c>
      <c r="D21" s="79" t="s">
        <v>13</v>
      </c>
      <c r="E21" s="80"/>
      <c r="F21" s="80"/>
      <c r="G21" s="81"/>
      <c r="H21" s="1"/>
      <c r="I21" s="1"/>
    </row>
    <row r="22" spans="1:9" x14ac:dyDescent="0.45">
      <c r="A22" s="1"/>
      <c r="B22" s="1"/>
      <c r="C22" s="6" t="s">
        <v>75</v>
      </c>
      <c r="D22" s="65" t="s">
        <v>179</v>
      </c>
      <c r="E22" s="66"/>
      <c r="F22" s="66"/>
      <c r="G22" s="67"/>
      <c r="H22" s="1"/>
      <c r="I22" s="1"/>
    </row>
    <row r="23" spans="1:9" x14ac:dyDescent="0.45">
      <c r="A23" s="1"/>
      <c r="B23" s="1"/>
      <c r="C23" s="6" t="s">
        <v>8</v>
      </c>
      <c r="D23" s="65" t="s">
        <v>180</v>
      </c>
      <c r="E23" s="66"/>
      <c r="F23" s="66"/>
      <c r="G23" s="67"/>
      <c r="H23" s="1"/>
      <c r="I23" s="1"/>
    </row>
    <row r="24" spans="1:9" x14ac:dyDescent="0.45">
      <c r="A24" s="1"/>
      <c r="B24" s="1"/>
      <c r="C24" s="6" t="s">
        <v>9</v>
      </c>
      <c r="D24" s="65" t="s">
        <v>39</v>
      </c>
      <c r="E24" s="66"/>
      <c r="F24" s="66"/>
      <c r="G24" s="67"/>
      <c r="H24" s="1"/>
      <c r="I24" s="1"/>
    </row>
    <row r="25" spans="1:9" x14ac:dyDescent="0.45">
      <c r="A25" s="1"/>
      <c r="B25" s="1"/>
      <c r="C25" s="6" t="s">
        <v>113</v>
      </c>
      <c r="D25" s="65" t="s">
        <v>76</v>
      </c>
      <c r="E25" s="66"/>
      <c r="F25" s="66"/>
      <c r="G25" s="67"/>
      <c r="H25" s="1"/>
      <c r="I25" s="1"/>
    </row>
    <row r="26" spans="1:9" x14ac:dyDescent="0.45">
      <c r="A26" s="1"/>
      <c r="B26" s="1"/>
      <c r="C26" s="6" t="s">
        <v>114</v>
      </c>
      <c r="D26" s="65" t="s">
        <v>77</v>
      </c>
      <c r="E26" s="66"/>
      <c r="F26" s="66"/>
      <c r="G26" s="67"/>
      <c r="H26" s="1"/>
      <c r="I26" s="1"/>
    </row>
    <row r="27" spans="1:9" x14ac:dyDescent="0.45">
      <c r="A27" s="1"/>
      <c r="B27" s="1"/>
      <c r="C27" s="6" t="s">
        <v>115</v>
      </c>
      <c r="D27" s="65" t="s">
        <v>78</v>
      </c>
      <c r="E27" s="66"/>
      <c r="F27" s="66"/>
      <c r="G27" s="67"/>
      <c r="H27" s="1"/>
      <c r="I27" s="1"/>
    </row>
    <row r="28" spans="1:9" x14ac:dyDescent="0.45">
      <c r="A28" s="1"/>
      <c r="B28" s="1"/>
      <c r="C28" s="6" t="s">
        <v>16</v>
      </c>
      <c r="D28" s="65" t="s">
        <v>135</v>
      </c>
      <c r="E28" s="66"/>
      <c r="F28" s="66"/>
      <c r="G28" s="67"/>
      <c r="H28" s="1"/>
      <c r="I28" s="1"/>
    </row>
    <row r="29" spans="1:9" x14ac:dyDescent="0.45">
      <c r="A29" s="1"/>
      <c r="B29" s="1"/>
      <c r="C29" s="6" t="s">
        <v>41</v>
      </c>
      <c r="D29" s="65" t="s">
        <v>40</v>
      </c>
      <c r="E29" s="66"/>
      <c r="F29" s="66"/>
      <c r="G29" s="67"/>
      <c r="H29" s="1"/>
      <c r="I29" s="1"/>
    </row>
    <row r="30" spans="1:9" x14ac:dyDescent="0.45">
      <c r="A30" s="1"/>
      <c r="B30" s="1"/>
      <c r="C30" s="6" t="s">
        <v>42</v>
      </c>
      <c r="D30" s="76" t="s">
        <v>108</v>
      </c>
      <c r="E30" s="77"/>
      <c r="F30" s="77"/>
      <c r="G30" s="7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GI34BWp1ioPa7/Mfj7bV/lN3pL9GEPYlotc06HxWVUPTt+JpiOPiWGqalwO/MDKouw236uWKlGuckZMI3CeSQ==" saltValue="AI6WMoSAAnjLyR5MDuHZAg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2" t="s">
        <v>119</v>
      </c>
      <c r="C3" s="82"/>
      <c r="D3" s="82"/>
      <c r="E3" s="1"/>
      <c r="F3" s="1"/>
    </row>
    <row r="4" spans="1:6" ht="15" customHeight="1" x14ac:dyDescent="0.45">
      <c r="A4" s="1"/>
      <c r="B4" s="82"/>
      <c r="C4" s="82"/>
      <c r="D4" s="8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6" t="s">
        <v>197</v>
      </c>
      <c r="C8" s="107"/>
      <c r="D8" s="108"/>
      <c r="E8" s="1"/>
      <c r="F8" s="1"/>
    </row>
    <row r="9" spans="1:6" ht="15" customHeight="1" x14ac:dyDescent="0.45">
      <c r="A9" s="1"/>
      <c r="B9" s="42" t="s">
        <v>35</v>
      </c>
      <c r="C9" s="11" t="s">
        <v>198</v>
      </c>
      <c r="D9" s="11"/>
      <c r="E9" s="1"/>
      <c r="F9" s="1"/>
    </row>
    <row r="10" spans="1:6" ht="15" customHeight="1" x14ac:dyDescent="0.45">
      <c r="A10" s="1"/>
      <c r="B10" s="57" t="s">
        <v>267</v>
      </c>
      <c r="C10" s="9">
        <v>1843173</v>
      </c>
      <c r="D10" s="14" t="s">
        <v>3</v>
      </c>
      <c r="E10" s="1"/>
      <c r="F10" s="1"/>
    </row>
    <row r="11" spans="1:6" ht="15" customHeight="1" x14ac:dyDescent="0.45">
      <c r="A11" s="1"/>
      <c r="B11" s="57" t="s">
        <v>268</v>
      </c>
      <c r="C11" s="9">
        <v>110526</v>
      </c>
      <c r="D11" s="14" t="s">
        <v>3</v>
      </c>
      <c r="E11" s="1"/>
      <c r="F11" s="1"/>
    </row>
    <row r="12" spans="1:6" x14ac:dyDescent="0.45">
      <c r="A12" s="1"/>
      <c r="B12" s="57" t="s">
        <v>269</v>
      </c>
      <c r="C12" s="9">
        <v>783000</v>
      </c>
      <c r="D12" s="14" t="s">
        <v>3</v>
      </c>
      <c r="E12" s="1"/>
      <c r="F12" s="1"/>
    </row>
    <row r="13" spans="1:6" x14ac:dyDescent="0.45">
      <c r="A13" s="1"/>
      <c r="B13" s="57" t="s">
        <v>270</v>
      </c>
      <c r="C13" s="9">
        <v>333984.34000000003</v>
      </c>
      <c r="D13" s="14" t="s">
        <v>3</v>
      </c>
      <c r="E13" s="1"/>
      <c r="F13" s="1"/>
    </row>
    <row r="14" spans="1:6" x14ac:dyDescent="0.45">
      <c r="A14" s="1"/>
      <c r="B14" s="57" t="s">
        <v>271</v>
      </c>
      <c r="C14" s="9">
        <v>540719</v>
      </c>
      <c r="D14" s="14" t="s">
        <v>3</v>
      </c>
      <c r="E14" s="1"/>
      <c r="F14" s="1"/>
    </row>
    <row r="15" spans="1:6" x14ac:dyDescent="0.45">
      <c r="A15" s="1"/>
      <c r="B15" s="35" t="s">
        <v>199</v>
      </c>
      <c r="C15" s="12">
        <f>SUM(C10:C14)</f>
        <v>3611402.34</v>
      </c>
      <c r="D15" s="13" t="s">
        <v>3</v>
      </c>
      <c r="E15" s="1"/>
      <c r="F15" s="1"/>
    </row>
    <row r="16" spans="1:6" x14ac:dyDescent="0.45">
      <c r="A16" s="1"/>
      <c r="B16" s="35" t="s">
        <v>200</v>
      </c>
      <c r="C16" s="12">
        <f>C15*(1+'Fane 14. Nøgletal'!C14)^2</f>
        <v>3635276.9236154831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06" t="s">
        <v>128</v>
      </c>
      <c r="C19" s="107"/>
      <c r="D19" s="108"/>
      <c r="E19" s="1"/>
      <c r="F19" s="1"/>
    </row>
    <row r="20" spans="1:6" x14ac:dyDescent="0.45">
      <c r="A20" s="1"/>
      <c r="B20" s="57" t="s">
        <v>100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57" t="s">
        <v>101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7" t="s">
        <v>141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57" t="s">
        <v>201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106"/>
      <c r="C24" s="107"/>
      <c r="D24" s="108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06" t="s">
        <v>99</v>
      </c>
      <c r="C27" s="107"/>
      <c r="D27" s="108"/>
      <c r="E27" s="1"/>
      <c r="F27" s="1"/>
    </row>
    <row r="28" spans="1:6" x14ac:dyDescent="0.45">
      <c r="A28" s="1"/>
      <c r="B28" s="57" t="s">
        <v>100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7" t="s">
        <v>101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7" t="s">
        <v>141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57" t="s">
        <v>201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106"/>
      <c r="C32" s="107"/>
      <c r="D32" s="108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UiMYJLeS8IJ/vAd00rN1nCPcqLseEPgseXkaLZs1u06PRt2KYeHWZJk3tUs60Z5kkLMYfle0nk6ZHV7nYpIMLg==" saltValue="MLObdTygf6SQKohzjrBnW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4" t="s">
        <v>202</v>
      </c>
      <c r="C3" s="84"/>
      <c r="D3" s="84"/>
      <c r="E3" s="84"/>
      <c r="F3" s="84"/>
      <c r="G3" s="1"/>
    </row>
    <row r="4" spans="1:7" ht="15" customHeight="1" x14ac:dyDescent="0.45">
      <c r="A4" s="1"/>
      <c r="B4" s="84"/>
      <c r="C4" s="84"/>
      <c r="D4" s="84"/>
      <c r="E4" s="84"/>
      <c r="F4" s="84"/>
      <c r="G4" s="1"/>
    </row>
    <row r="5" spans="1:7" ht="15" customHeight="1" x14ac:dyDescent="0.45">
      <c r="A5" s="1"/>
      <c r="B5" s="49"/>
      <c r="C5" s="49"/>
      <c r="D5" s="49"/>
      <c r="E5" s="49"/>
      <c r="F5" s="49"/>
      <c r="G5" s="1"/>
    </row>
    <row r="6" spans="1:7" ht="15" customHeight="1" x14ac:dyDescent="0.45">
      <c r="A6" s="1"/>
      <c r="B6" s="49"/>
      <c r="C6" s="49"/>
      <c r="D6" s="49"/>
      <c r="E6" s="49"/>
      <c r="F6" s="49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6" t="s">
        <v>273</v>
      </c>
      <c r="C8" s="107"/>
      <c r="D8" s="107"/>
      <c r="E8" s="107"/>
      <c r="F8" s="108"/>
      <c r="G8" s="1"/>
    </row>
    <row r="9" spans="1:7" x14ac:dyDescent="0.45">
      <c r="A9" s="1"/>
      <c r="B9" s="109" t="s">
        <v>274</v>
      </c>
      <c r="C9" s="110"/>
      <c r="D9" s="111"/>
      <c r="E9" s="9">
        <v>15196389.257419586</v>
      </c>
      <c r="F9" s="14" t="s">
        <v>3</v>
      </c>
      <c r="G9" s="1"/>
    </row>
    <row r="10" spans="1:7" x14ac:dyDescent="0.45">
      <c r="A10" s="1"/>
      <c r="B10" s="109" t="s">
        <v>275</v>
      </c>
      <c r="C10" s="110"/>
      <c r="D10" s="111"/>
      <c r="E10" s="9">
        <v>30517035.690584928</v>
      </c>
      <c r="F10" s="14" t="s">
        <v>3</v>
      </c>
      <c r="G10" s="1"/>
    </row>
    <row r="11" spans="1:7" x14ac:dyDescent="0.45">
      <c r="A11" s="1"/>
      <c r="B11" s="109" t="s">
        <v>276</v>
      </c>
      <c r="C11" s="110"/>
      <c r="D11" s="111"/>
      <c r="E11" s="9">
        <v>3036802.5437108576</v>
      </c>
      <c r="F11" s="14" t="s">
        <v>3</v>
      </c>
      <c r="G11" s="1"/>
    </row>
    <row r="12" spans="1:7" x14ac:dyDescent="0.45">
      <c r="A12" s="1"/>
      <c r="B12" s="35"/>
      <c r="C12" s="36"/>
      <c r="D12" s="36"/>
      <c r="E12" s="36"/>
      <c r="F12" s="20"/>
      <c r="G12" s="1"/>
    </row>
    <row r="13" spans="1:7" ht="52.5" customHeight="1" x14ac:dyDescent="0.45">
      <c r="A13" s="1"/>
      <c r="B13" s="94" t="s">
        <v>277</v>
      </c>
      <c r="C13" s="95"/>
      <c r="D13" s="95"/>
      <c r="E13" s="95"/>
      <c r="F13" s="96"/>
      <c r="G13" s="1"/>
    </row>
    <row r="14" spans="1:7" ht="27" customHeight="1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06" t="s">
        <v>278</v>
      </c>
      <c r="C15" s="107"/>
      <c r="D15" s="107"/>
      <c r="E15" s="107"/>
      <c r="F15" s="108"/>
      <c r="G15" s="1"/>
    </row>
    <row r="16" spans="1:7" x14ac:dyDescent="0.45">
      <c r="A16" s="1"/>
      <c r="B16" s="109" t="s">
        <v>279</v>
      </c>
      <c r="C16" s="110"/>
      <c r="D16" s="111"/>
      <c r="E16" s="9">
        <v>0</v>
      </c>
      <c r="F16" s="14" t="s">
        <v>3</v>
      </c>
      <c r="G16" s="1"/>
    </row>
    <row r="17" spans="1:7" x14ac:dyDescent="0.45">
      <c r="A17" s="1"/>
      <c r="B17" s="109" t="s">
        <v>280</v>
      </c>
      <c r="C17" s="110"/>
      <c r="D17" s="111"/>
      <c r="E17" s="9">
        <v>0</v>
      </c>
      <c r="F17" s="14" t="s">
        <v>3</v>
      </c>
      <c r="G17" s="1"/>
    </row>
    <row r="18" spans="1:7" x14ac:dyDescent="0.45">
      <c r="A18" s="1"/>
      <c r="B18" s="35"/>
      <c r="C18" s="36"/>
      <c r="D18" s="36"/>
      <c r="E18" s="36"/>
      <c r="F18" s="20"/>
      <c r="G18" s="1"/>
    </row>
    <row r="19" spans="1:7" ht="31.5" customHeight="1" x14ac:dyDescent="0.45">
      <c r="A19" s="1"/>
      <c r="B19" s="94" t="s">
        <v>281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51" t="s">
        <v>240</v>
      </c>
      <c r="C21" s="52"/>
      <c r="D21" s="52"/>
      <c r="E21" s="52"/>
      <c r="F21" s="53"/>
      <c r="G21" s="1"/>
    </row>
    <row r="22" spans="1:7" x14ac:dyDescent="0.45">
      <c r="A22" s="1"/>
      <c r="B22" s="54" t="s">
        <v>241</v>
      </c>
      <c r="C22" s="55"/>
      <c r="D22" s="56"/>
      <c r="E22" s="9">
        <v>121071116.3689964</v>
      </c>
      <c r="F22" s="14" t="s">
        <v>3</v>
      </c>
      <c r="G22" s="1"/>
    </row>
    <row r="23" spans="1:7" x14ac:dyDescent="0.45">
      <c r="A23" s="1"/>
      <c r="B23" s="54" t="s">
        <v>242</v>
      </c>
      <c r="C23" s="55"/>
      <c r="D23" s="56"/>
      <c r="E23" s="9">
        <v>121153442.28</v>
      </c>
      <c r="F23" s="14" t="s">
        <v>3</v>
      </c>
      <c r="G23" s="1"/>
    </row>
    <row r="24" spans="1:7" x14ac:dyDescent="0.45">
      <c r="A24" s="1"/>
      <c r="B24" s="54" t="s">
        <v>36</v>
      </c>
      <c r="C24" s="55"/>
      <c r="D24" s="56"/>
      <c r="E24" s="9">
        <v>0</v>
      </c>
      <c r="F24" s="14" t="s">
        <v>3</v>
      </c>
      <c r="G24" s="1"/>
    </row>
    <row r="25" spans="1:7" x14ac:dyDescent="0.45">
      <c r="A25" s="1"/>
      <c r="B25" s="45" t="s">
        <v>282</v>
      </c>
      <c r="C25" s="46"/>
      <c r="D25" s="47"/>
      <c r="E25" s="38">
        <f>E22-(E23-E24)</f>
        <v>-82325.911003604531</v>
      </c>
      <c r="F25" s="17" t="s">
        <v>3</v>
      </c>
      <c r="G25" s="1"/>
    </row>
    <row r="26" spans="1:7" x14ac:dyDescent="0.45">
      <c r="A26" s="1"/>
      <c r="B26" s="35"/>
      <c r="C26" s="36"/>
      <c r="D26" s="36"/>
      <c r="E26" s="36"/>
      <c r="F26" s="20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06" t="s">
        <v>169</v>
      </c>
      <c r="C29" s="107"/>
      <c r="D29" s="107"/>
      <c r="E29" s="107"/>
      <c r="F29" s="108"/>
      <c r="G29" s="1"/>
    </row>
    <row r="30" spans="1:7" x14ac:dyDescent="0.45">
      <c r="A30" s="1"/>
      <c r="B30" s="123" t="s">
        <v>170</v>
      </c>
      <c r="C30" s="124"/>
      <c r="D30" s="125"/>
      <c r="E30" s="9">
        <f>IF(AND(E9&lt;0,SUM(E10:E11,E25)&gt;0),E9,IF(AND(E9&lt;0,SUM(E10:E11,E25)&lt;0),E9+SUM(E10:E11,E25),IF(AND(E9&gt;0,SUM(E9:E11,E25)&gt;0),0,IF(AND(E9&gt;0,SUM(E9:E11,E25)&lt;0),SUM(E9:E11,E25)))))</f>
        <v>0</v>
      </c>
      <c r="F30" s="14" t="s">
        <v>3</v>
      </c>
      <c r="G30" s="1"/>
    </row>
    <row r="31" spans="1:7" x14ac:dyDescent="0.45">
      <c r="A31" s="1"/>
      <c r="B31" s="123" t="s">
        <v>104</v>
      </c>
      <c r="C31" s="124"/>
      <c r="D31" s="125"/>
      <c r="E31" s="9">
        <v>2</v>
      </c>
      <c r="F31" s="14" t="s">
        <v>21</v>
      </c>
      <c r="G31" s="1"/>
    </row>
    <row r="32" spans="1:7" x14ac:dyDescent="0.45">
      <c r="A32" s="1"/>
      <c r="B32" s="126" t="s">
        <v>172</v>
      </c>
      <c r="C32" s="126"/>
      <c r="D32" s="126"/>
      <c r="E32" s="10">
        <f>E30/E31</f>
        <v>0</v>
      </c>
      <c r="F32" s="17" t="s">
        <v>3</v>
      </c>
      <c r="G32" s="1"/>
    </row>
    <row r="33" spans="1:7" x14ac:dyDescent="0.45">
      <c r="A33" s="1"/>
      <c r="B33" s="120"/>
      <c r="C33" s="121"/>
      <c r="D33" s="121"/>
      <c r="E33" s="121"/>
      <c r="F33" s="122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</sheetData>
  <sheetProtection algorithmName="SHA-512" hashValue="C8dh0rQAskA5hfVvFl1/m0Q4fvxbbsKe+hyVgalj/zjGCjA0jWFihBPs5Qtl7uY1WHPEo8FRLjmW/ob+fUjAng==" saltValue="hY1dJfkvsRS7dRKlGJDDtA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4" t="s">
        <v>203</v>
      </c>
      <c r="C3" s="84"/>
      <c r="D3" s="84"/>
      <c r="E3" s="84"/>
      <c r="F3" s="84"/>
      <c r="G3" s="1"/>
    </row>
    <row r="4" spans="1:7" ht="1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6" t="s">
        <v>204</v>
      </c>
      <c r="C9" s="107"/>
      <c r="D9" s="107"/>
      <c r="E9" s="107"/>
      <c r="F9" s="107"/>
      <c r="G9" s="1"/>
    </row>
    <row r="10" spans="1:7" x14ac:dyDescent="0.45">
      <c r="A10" s="1"/>
      <c r="B10" s="94" t="s">
        <v>102</v>
      </c>
      <c r="C10" s="95"/>
      <c r="D10" s="96"/>
      <c r="E10" s="7">
        <v>0</v>
      </c>
      <c r="F10" s="8" t="s">
        <v>3</v>
      </c>
      <c r="G10" s="1"/>
    </row>
    <row r="11" spans="1:7" x14ac:dyDescent="0.45">
      <c r="A11" s="1"/>
      <c r="B11" s="109" t="s">
        <v>205</v>
      </c>
      <c r="C11" s="110"/>
      <c r="D11" s="111"/>
      <c r="E11" s="7">
        <v>0</v>
      </c>
      <c r="F11" s="8" t="s">
        <v>3</v>
      </c>
      <c r="G11" s="1"/>
    </row>
    <row r="12" spans="1:7" x14ac:dyDescent="0.45">
      <c r="A12" s="1"/>
      <c r="B12" s="103" t="s">
        <v>103</v>
      </c>
      <c r="C12" s="104"/>
      <c r="D12" s="105"/>
      <c r="E12" s="10">
        <f>E11-E10</f>
        <v>0</v>
      </c>
      <c r="F12" s="11" t="s">
        <v>3</v>
      </c>
      <c r="G12" s="1"/>
    </row>
    <row r="13" spans="1:7" x14ac:dyDescent="0.45">
      <c r="A13" s="1"/>
      <c r="B13" s="106" t="s">
        <v>93</v>
      </c>
      <c r="C13" s="107"/>
      <c r="D13" s="107"/>
      <c r="E13" s="107"/>
      <c r="F13" s="107"/>
      <c r="G13" s="1"/>
    </row>
    <row r="14" spans="1:7" x14ac:dyDescent="0.45">
      <c r="A14" s="1"/>
      <c r="B14" s="109" t="s">
        <v>206</v>
      </c>
      <c r="C14" s="110"/>
      <c r="D14" s="111"/>
      <c r="E14" s="9">
        <v>0</v>
      </c>
      <c r="F14" s="8" t="s">
        <v>3</v>
      </c>
      <c r="G14" s="1"/>
    </row>
    <row r="15" spans="1:7" x14ac:dyDescent="0.45">
      <c r="A15" s="1"/>
      <c r="B15" s="94" t="s">
        <v>207</v>
      </c>
      <c r="C15" s="95"/>
      <c r="D15" s="96"/>
      <c r="E15" s="9">
        <v>0</v>
      </c>
      <c r="F15" s="8" t="s">
        <v>3</v>
      </c>
      <c r="G15" s="1"/>
    </row>
    <row r="16" spans="1:7" x14ac:dyDescent="0.45">
      <c r="A16" s="1"/>
      <c r="B16" s="103" t="s">
        <v>103</v>
      </c>
      <c r="C16" s="104"/>
      <c r="D16" s="105"/>
      <c r="E16" s="10">
        <f>E15-E14</f>
        <v>0</v>
      </c>
      <c r="F16" s="11" t="s">
        <v>3</v>
      </c>
      <c r="G16" s="1"/>
    </row>
    <row r="17" spans="1:7" ht="15" customHeight="1" x14ac:dyDescent="0.45">
      <c r="A17" s="1"/>
      <c r="B17" s="35" t="s">
        <v>208</v>
      </c>
      <c r="C17" s="36"/>
      <c r="D17" s="36"/>
      <c r="E17" s="12">
        <f>E12+E16</f>
        <v>0</v>
      </c>
      <c r="F17" s="13" t="s">
        <v>3</v>
      </c>
      <c r="G17" s="1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8wCxVD18e+2uBTk+vmnTJv6QmICOD23YNVXYjGQPejDYzdo1k+Y2hPALLSBwBbyBUuUvZtkbsZj2Ak4dUDufcQ==" saltValue="OVnqLTTgORx1HXw3n6QAK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2" t="s">
        <v>155</v>
      </c>
      <c r="C3" s="82"/>
      <c r="D3" s="82"/>
      <c r="E3" s="82"/>
      <c r="F3" s="82"/>
      <c r="G3" s="82"/>
      <c r="H3" s="82"/>
      <c r="I3" s="1"/>
    </row>
    <row r="4" spans="1:9" ht="15" customHeight="1" x14ac:dyDescent="0.4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6" t="s">
        <v>156</v>
      </c>
      <c r="C8" s="107"/>
      <c r="D8" s="107"/>
      <c r="E8" s="107"/>
      <c r="F8" s="107"/>
      <c r="G8" s="107"/>
      <c r="H8" s="10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1"/>
      <c r="I9" s="1"/>
    </row>
    <row r="10" spans="1:9" x14ac:dyDescent="0.45">
      <c r="A10" s="1"/>
      <c r="B10" s="59" t="s">
        <v>287</v>
      </c>
      <c r="C10" s="62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06" t="s">
        <v>157</v>
      </c>
      <c r="C11" s="107"/>
      <c r="D11" s="10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+G9vFvUblHnp2lRPPmlMMjl9/W0kb42Zz4BsIxpIGGP6/todb/Jo6Stx88mstwcSaEYam5z854bvkv6RRdqfkQ==" saltValue="/DiYhzU85noBKIokrlyez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118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45">
      <c r="A9" s="1"/>
      <c r="B9" s="39" t="s">
        <v>18</v>
      </c>
      <c r="C9" s="39" t="s">
        <v>12</v>
      </c>
      <c r="D9" s="40"/>
      <c r="E9" s="39" t="s">
        <v>34</v>
      </c>
      <c r="F9" s="61"/>
      <c r="G9" s="1"/>
    </row>
    <row r="10" spans="1:7" x14ac:dyDescent="0.4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63" t="s">
        <v>285</v>
      </c>
      <c r="C11" s="22">
        <v>1409805</v>
      </c>
      <c r="D11" s="14" t="s">
        <v>3</v>
      </c>
      <c r="E11" s="9">
        <v>375259</v>
      </c>
      <c r="F11" s="14" t="s">
        <v>3</v>
      </c>
      <c r="G11" s="1"/>
    </row>
    <row r="12" spans="1:7" x14ac:dyDescent="0.45">
      <c r="A12" s="1"/>
      <c r="B12" s="35" t="s">
        <v>142</v>
      </c>
      <c r="C12" s="12">
        <f>SUM(C10:C11)</f>
        <v>1409805</v>
      </c>
      <c r="D12" s="13" t="s">
        <v>3</v>
      </c>
      <c r="E12" s="12">
        <f>SUM(E10:E11)</f>
        <v>375259</v>
      </c>
      <c r="F12" s="13" t="s">
        <v>3</v>
      </c>
      <c r="G12" s="1"/>
    </row>
    <row r="13" spans="1:7" x14ac:dyDescent="0.45">
      <c r="A13" s="1"/>
      <c r="B13" s="35" t="s">
        <v>209</v>
      </c>
      <c r="C13" s="12">
        <f>C12*(1+'Fane 14. Nøgletal'!C14)</f>
        <v>1414457.3565000002</v>
      </c>
      <c r="D13" s="13" t="s">
        <v>3</v>
      </c>
      <c r="E13" s="12">
        <f>E12*(1+'Fane 14. Nøgletal'!C14)</f>
        <v>376497.35470000003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JXuuAVGACHCOOsnyxo+IFvTJyUVQsUdjtMWY+VMAXxG6AkzYMJmuvTM5cyHdY9R7qBYRTETdmtBJjj+/nItRQ==" saltValue="URp+Vw9sDNOZhQPZZqNrq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117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6" t="s">
        <v>96</v>
      </c>
      <c r="C8" s="107"/>
      <c r="D8" s="107"/>
      <c r="E8" s="107"/>
      <c r="F8" s="108"/>
      <c r="G8" s="1"/>
    </row>
    <row r="9" spans="1:7" x14ac:dyDescent="0.45">
      <c r="A9" s="1"/>
      <c r="B9" s="39" t="s">
        <v>18</v>
      </c>
      <c r="C9" s="39" t="s">
        <v>12</v>
      </c>
      <c r="D9" s="40"/>
      <c r="E9" s="39" t="s">
        <v>34</v>
      </c>
      <c r="F9" s="61"/>
      <c r="G9" s="1"/>
    </row>
    <row r="10" spans="1:7" x14ac:dyDescent="0.45">
      <c r="A10" s="1"/>
      <c r="B10" s="25" t="s">
        <v>286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45">
      <c r="A11" s="1"/>
      <c r="B11" s="3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5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6" t="s">
        <v>97</v>
      </c>
      <c r="C16" s="107"/>
      <c r="D16" s="107"/>
      <c r="E16" s="107"/>
      <c r="F16" s="108"/>
      <c r="G16" s="1"/>
    </row>
    <row r="17" spans="1:7" x14ac:dyDescent="0.45">
      <c r="A17" s="1"/>
      <c r="B17" s="39" t="s">
        <v>18</v>
      </c>
      <c r="C17" s="39" t="s">
        <v>12</v>
      </c>
      <c r="D17" s="40"/>
      <c r="E17" s="39" t="s">
        <v>34</v>
      </c>
      <c r="F17" s="61"/>
      <c r="G17" s="1"/>
    </row>
    <row r="18" spans="1:7" x14ac:dyDescent="0.45">
      <c r="A18" s="1"/>
      <c r="B18" s="25" t="s">
        <v>286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45">
      <c r="A19" s="1"/>
      <c r="B19" s="3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5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6" t="s">
        <v>144</v>
      </c>
      <c r="C24" s="107"/>
      <c r="D24" s="107"/>
      <c r="E24" s="107"/>
      <c r="F24" s="108"/>
      <c r="G24" s="1"/>
    </row>
    <row r="25" spans="1:7" x14ac:dyDescent="0.45">
      <c r="A25" s="1"/>
      <c r="B25" s="39" t="s">
        <v>18</v>
      </c>
      <c r="C25" s="39" t="s">
        <v>12</v>
      </c>
      <c r="D25" s="40"/>
      <c r="E25" s="39" t="s">
        <v>34</v>
      </c>
      <c r="F25" s="61"/>
      <c r="G25" s="1"/>
    </row>
    <row r="26" spans="1:7" x14ac:dyDescent="0.45">
      <c r="A26" s="1"/>
      <c r="B26" s="25" t="s">
        <v>286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45">
      <c r="A27" s="1"/>
      <c r="B27" s="3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5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6" t="s">
        <v>212</v>
      </c>
      <c r="C32" s="107"/>
      <c r="D32" s="107"/>
      <c r="E32" s="107"/>
      <c r="F32" s="108"/>
      <c r="G32" s="1"/>
    </row>
    <row r="33" spans="1:7" x14ac:dyDescent="0.45">
      <c r="A33" s="1"/>
      <c r="B33" s="39" t="s">
        <v>18</v>
      </c>
      <c r="C33" s="39" t="s">
        <v>12</v>
      </c>
      <c r="D33" s="40"/>
      <c r="E33" s="39" t="s">
        <v>34</v>
      </c>
      <c r="F33" s="61"/>
      <c r="G33" s="1"/>
    </row>
    <row r="34" spans="1:7" x14ac:dyDescent="0.45">
      <c r="A34" s="1"/>
      <c r="B34" s="25" t="s">
        <v>286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45">
      <c r="A35" s="1"/>
      <c r="B35" s="3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5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r5mkJgQTAx1UZN4Vu9PKhqFTLRhlbp2mWOjI97SDXoBi0H5VAOB9lZOYpSYAOm0dlLP7x6AAUDo/crHbSz6oVg==" saltValue="TEV+K8g91yhC45UW125L4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127</v>
      </c>
      <c r="C3" s="84"/>
      <c r="D3" s="84"/>
      <c r="E3" s="84"/>
      <c r="F3" s="84"/>
      <c r="G3" s="1"/>
    </row>
    <row r="4" spans="1:7" ht="1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84"/>
      <c r="C5" s="84"/>
      <c r="D5" s="84"/>
      <c r="E5" s="84"/>
      <c r="F5" s="8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6" t="s">
        <v>87</v>
      </c>
      <c r="C8" s="107"/>
      <c r="D8" s="107"/>
      <c r="E8" s="107"/>
      <c r="F8" s="108"/>
      <c r="G8" s="1"/>
    </row>
    <row r="9" spans="1:7" x14ac:dyDescent="0.45">
      <c r="A9" s="1"/>
      <c r="B9" s="127" t="s">
        <v>215</v>
      </c>
      <c r="C9" s="128"/>
      <c r="D9" s="129"/>
      <c r="E9" s="9">
        <v>0</v>
      </c>
      <c r="F9" s="14" t="s">
        <v>3</v>
      </c>
      <c r="G9" s="1"/>
    </row>
    <row r="10" spans="1:7" x14ac:dyDescent="0.45">
      <c r="A10" s="1"/>
      <c r="B10" s="91" t="s">
        <v>10</v>
      </c>
      <c r="C10" s="92"/>
      <c r="D10" s="93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91" t="s">
        <v>27</v>
      </c>
      <c r="C11" s="92"/>
      <c r="D11" s="93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106" t="s">
        <v>89</v>
      </c>
      <c r="C12" s="107"/>
      <c r="D12" s="108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6" t="s">
        <v>88</v>
      </c>
      <c r="C14" s="107"/>
      <c r="D14" s="107"/>
      <c r="E14" s="107"/>
      <c r="F14" s="108"/>
      <c r="G14" s="1"/>
    </row>
    <row r="15" spans="1:7" x14ac:dyDescent="0.45">
      <c r="A15" s="1"/>
      <c r="B15" s="127" t="s">
        <v>215</v>
      </c>
      <c r="C15" s="128"/>
      <c r="D15" s="129"/>
      <c r="E15" s="9">
        <v>0</v>
      </c>
      <c r="F15" s="14" t="s">
        <v>3</v>
      </c>
      <c r="G15" s="1"/>
    </row>
    <row r="16" spans="1:7" x14ac:dyDescent="0.45">
      <c r="A16" s="1"/>
      <c r="B16" s="91" t="s">
        <v>10</v>
      </c>
      <c r="C16" s="92"/>
      <c r="D16" s="93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91" t="s">
        <v>27</v>
      </c>
      <c r="C17" s="92"/>
      <c r="D17" s="93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106" t="s">
        <v>90</v>
      </c>
      <c r="C18" s="107"/>
      <c r="D18" s="108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6" t="s">
        <v>145</v>
      </c>
      <c r="C20" s="107"/>
      <c r="D20" s="107"/>
      <c r="E20" s="107"/>
      <c r="F20" s="108"/>
      <c r="G20" s="1"/>
    </row>
    <row r="21" spans="1:7" x14ac:dyDescent="0.45">
      <c r="A21" s="1"/>
      <c r="B21" s="127" t="s">
        <v>215</v>
      </c>
      <c r="C21" s="128"/>
      <c r="D21" s="129"/>
      <c r="E21" s="9">
        <v>0</v>
      </c>
      <c r="F21" s="14" t="s">
        <v>3</v>
      </c>
      <c r="G21" s="1"/>
    </row>
    <row r="22" spans="1:7" x14ac:dyDescent="0.45">
      <c r="A22" s="1"/>
      <c r="B22" s="91" t="s">
        <v>10</v>
      </c>
      <c r="C22" s="92"/>
      <c r="D22" s="93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91" t="s">
        <v>27</v>
      </c>
      <c r="C23" s="92"/>
      <c r="D23" s="93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06" t="s">
        <v>146</v>
      </c>
      <c r="C24" s="107"/>
      <c r="D24" s="108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6" t="s">
        <v>216</v>
      </c>
      <c r="C26" s="107"/>
      <c r="D26" s="107"/>
      <c r="E26" s="107"/>
      <c r="F26" s="108"/>
      <c r="G26" s="1"/>
    </row>
    <row r="27" spans="1:7" x14ac:dyDescent="0.45">
      <c r="A27" s="1"/>
      <c r="B27" s="127" t="s">
        <v>215</v>
      </c>
      <c r="C27" s="128"/>
      <c r="D27" s="129"/>
      <c r="E27" s="9">
        <v>0</v>
      </c>
      <c r="F27" s="14" t="s">
        <v>3</v>
      </c>
      <c r="G27" s="1"/>
    </row>
    <row r="28" spans="1:7" x14ac:dyDescent="0.45">
      <c r="A28" s="1"/>
      <c r="B28" s="91" t="s">
        <v>10</v>
      </c>
      <c r="C28" s="92"/>
      <c r="D28" s="93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91" t="s">
        <v>27</v>
      </c>
      <c r="C29" s="92"/>
      <c r="D29" s="93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06" t="s">
        <v>217</v>
      </c>
      <c r="C30" s="107"/>
      <c r="D30" s="108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6lCJGMXWhJrFkqMVKw9hqeNHhuMa4ad0YC0FzewIZtuYcxzE2+4Zkm1pUE49LQ5AUQUMry4FL7JFz7xw864Ubg==" saltValue="HUNY45jRj72/cz+PsDMV6g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4" style="2" customWidth="1"/>
    <col min="4" max="4" width="3.265625" style="2" customWidth="1"/>
    <col min="5" max="5" width="14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147</v>
      </c>
      <c r="C3" s="84"/>
      <c r="D3" s="84"/>
      <c r="E3" s="84"/>
      <c r="F3" s="84"/>
      <c r="G3" s="1"/>
    </row>
    <row r="4" spans="1:7" ht="25.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6" t="s">
        <v>148</v>
      </c>
      <c r="C8" s="107"/>
      <c r="D8" s="107"/>
      <c r="E8" s="107"/>
      <c r="F8" s="108"/>
      <c r="G8" s="1"/>
    </row>
    <row r="9" spans="1:7" ht="15" customHeight="1" x14ac:dyDescent="0.45">
      <c r="A9" s="1"/>
      <c r="B9" s="60" t="s">
        <v>149</v>
      </c>
      <c r="C9" s="97" t="s">
        <v>12</v>
      </c>
      <c r="D9" s="99"/>
      <c r="E9" s="130" t="s">
        <v>34</v>
      </c>
      <c r="F9" s="131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tO4T9jwOrY8RbNyboZfdJarfR4XKpb+/Lfj0dGLxver3N6nyl4q83kDwXDsUp/lr8o7YQIHf0xm0xLnvSt97ug==" saltValue="Ho9vYGvKB/T8bbKHsKila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116</v>
      </c>
      <c r="C3" s="84"/>
      <c r="D3" s="84"/>
      <c r="E3" s="84"/>
      <c r="F3" s="84"/>
      <c r="G3" s="1"/>
    </row>
    <row r="4" spans="1:7" ht="25.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6" t="s">
        <v>91</v>
      </c>
      <c r="C8" s="107"/>
      <c r="D8" s="107"/>
      <c r="E8" s="107"/>
      <c r="F8" s="108"/>
      <c r="G8" s="1"/>
    </row>
    <row r="9" spans="1:7" ht="15" customHeight="1" x14ac:dyDescent="0.45">
      <c r="A9" s="1"/>
      <c r="B9" s="60" t="s">
        <v>19</v>
      </c>
      <c r="C9" s="60" t="s">
        <v>12</v>
      </c>
      <c r="D9" s="61"/>
      <c r="E9" s="60" t="s">
        <v>34</v>
      </c>
      <c r="F9" s="61"/>
      <c r="G9" s="1"/>
    </row>
    <row r="10" spans="1:7" x14ac:dyDescent="0.4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6" t="s">
        <v>92</v>
      </c>
      <c r="C14" s="107"/>
      <c r="D14" s="107"/>
      <c r="E14" s="107"/>
      <c r="F14" s="108"/>
      <c r="G14" s="1"/>
    </row>
    <row r="15" spans="1:7" x14ac:dyDescent="0.45">
      <c r="A15" s="1"/>
      <c r="B15" s="60" t="s">
        <v>19</v>
      </c>
      <c r="C15" s="60" t="s">
        <v>12</v>
      </c>
      <c r="D15" s="61"/>
      <c r="E15" s="60" t="s">
        <v>34</v>
      </c>
      <c r="F15" s="61"/>
      <c r="G15" s="1"/>
    </row>
    <row r="16" spans="1:7" x14ac:dyDescent="0.4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6" t="s">
        <v>151</v>
      </c>
      <c r="C20" s="107"/>
      <c r="D20" s="107"/>
      <c r="E20" s="107"/>
      <c r="F20" s="108"/>
      <c r="G20" s="1"/>
    </row>
    <row r="21" spans="1:7" x14ac:dyDescent="0.45">
      <c r="A21" s="1"/>
      <c r="B21" s="60" t="s">
        <v>19</v>
      </c>
      <c r="C21" s="60" t="s">
        <v>12</v>
      </c>
      <c r="D21" s="61"/>
      <c r="E21" s="60" t="s">
        <v>34</v>
      </c>
      <c r="F21" s="61"/>
      <c r="G21" s="1"/>
    </row>
    <row r="22" spans="1:7" x14ac:dyDescent="0.4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6" t="s">
        <v>219</v>
      </c>
      <c r="C26" s="107"/>
      <c r="D26" s="107"/>
      <c r="E26" s="107"/>
      <c r="F26" s="108"/>
      <c r="G26" s="1"/>
    </row>
    <row r="27" spans="1:7" x14ac:dyDescent="0.45">
      <c r="A27" s="1"/>
      <c r="B27" s="60" t="s">
        <v>19</v>
      </c>
      <c r="C27" s="60" t="s">
        <v>12</v>
      </c>
      <c r="D27" s="61"/>
      <c r="E27" s="60" t="s">
        <v>34</v>
      </c>
      <c r="F27" s="61"/>
      <c r="G27" s="1"/>
    </row>
    <row r="28" spans="1:7" x14ac:dyDescent="0.4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kUrY1ntug6Um+Lxnil04GPDF+Tl1DwcEN0xKyFUsNGN1Qy/cuzk+hFbrWKMaE/Xxm/P7Ki8UpYLHh603B3Wa0A==" saltValue="q/RC58EeQV5KNrEQzHMML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4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4" t="s">
        <v>173</v>
      </c>
      <c r="C3" s="84"/>
      <c r="D3" s="1"/>
    </row>
    <row r="4" spans="1:4" ht="25.5" customHeight="1" x14ac:dyDescent="0.45">
      <c r="A4" s="1"/>
      <c r="B4" s="84"/>
      <c r="C4" s="8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5" t="s">
        <v>15</v>
      </c>
      <c r="C8" s="20"/>
      <c r="D8" s="1"/>
    </row>
    <row r="9" spans="1:4" x14ac:dyDescent="0.45">
      <c r="A9" s="1"/>
      <c r="B9" s="57" t="s">
        <v>264</v>
      </c>
      <c r="C9" s="26">
        <v>1.2699999999999999E-2</v>
      </c>
      <c r="D9" s="1"/>
    </row>
    <row r="10" spans="1:4" x14ac:dyDescent="0.45">
      <c r="A10" s="1"/>
      <c r="B10" s="57" t="s">
        <v>122</v>
      </c>
      <c r="C10" s="26">
        <v>1.7500000000000002E-2</v>
      </c>
      <c r="D10" s="1"/>
    </row>
    <row r="11" spans="1:4" x14ac:dyDescent="0.45">
      <c r="A11" s="1"/>
      <c r="B11" s="57" t="s">
        <v>24</v>
      </c>
      <c r="C11" s="26">
        <v>1.6899999999999998E-2</v>
      </c>
      <c r="D11" s="1"/>
    </row>
    <row r="12" spans="1:4" x14ac:dyDescent="0.45">
      <c r="A12" s="1"/>
      <c r="B12" s="30" t="s">
        <v>45</v>
      </c>
      <c r="C12" s="26">
        <v>1.9699999999999999E-2</v>
      </c>
      <c r="D12" s="1"/>
    </row>
    <row r="13" spans="1:4" x14ac:dyDescent="0.45">
      <c r="A13" s="1"/>
      <c r="B13" s="30" t="s">
        <v>153</v>
      </c>
      <c r="C13" s="31">
        <v>1.2200000000000001E-2</v>
      </c>
      <c r="D13" s="1"/>
    </row>
    <row r="14" spans="1:4" x14ac:dyDescent="0.45">
      <c r="A14" s="1"/>
      <c r="B14" s="30" t="s">
        <v>284</v>
      </c>
      <c r="C14" s="31">
        <v>3.3E-3</v>
      </c>
      <c r="D14" s="1"/>
    </row>
    <row r="15" spans="1:4" x14ac:dyDescent="0.45">
      <c r="A15" s="1"/>
      <c r="B15" s="35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5" t="s">
        <v>107</v>
      </c>
      <c r="C18" s="20"/>
      <c r="D18" s="1"/>
    </row>
    <row r="19" spans="1:4" x14ac:dyDescent="0.45">
      <c r="A19" s="1"/>
      <c r="B19" s="57" t="s">
        <v>265</v>
      </c>
      <c r="C19" s="23">
        <v>9.1000000000000004E-3</v>
      </c>
      <c r="D19" s="1"/>
    </row>
    <row r="20" spans="1:4" x14ac:dyDescent="0.45">
      <c r="A20" s="1"/>
      <c r="B20" s="57" t="s">
        <v>124</v>
      </c>
      <c r="C20" s="23">
        <v>1.77E-2</v>
      </c>
      <c r="D20" s="1"/>
    </row>
    <row r="21" spans="1:4" x14ac:dyDescent="0.45">
      <c r="A21" s="1"/>
      <c r="B21" s="57" t="s">
        <v>123</v>
      </c>
      <c r="C21" s="23">
        <v>8.6999999999999994E-3</v>
      </c>
      <c r="D21" s="1"/>
    </row>
    <row r="22" spans="1:4" x14ac:dyDescent="0.45">
      <c r="A22" s="1"/>
      <c r="B22" s="57" t="s">
        <v>125</v>
      </c>
      <c r="C22" s="23">
        <v>2.8400000000000002E-2</v>
      </c>
      <c r="D22" s="1"/>
    </row>
    <row r="23" spans="1:4" x14ac:dyDescent="0.45">
      <c r="A23" s="1"/>
      <c r="B23" s="57" t="s">
        <v>154</v>
      </c>
      <c r="C23" s="32">
        <v>2.75E-2</v>
      </c>
      <c r="D23" s="1"/>
    </row>
    <row r="24" spans="1:4" x14ac:dyDescent="0.45">
      <c r="A24" s="1"/>
      <c r="B24" s="57" t="s">
        <v>221</v>
      </c>
      <c r="C24" s="32">
        <v>1.4800000000000001E-2</v>
      </c>
      <c r="D24" s="1"/>
    </row>
    <row r="25" spans="1:4" x14ac:dyDescent="0.45">
      <c r="A25" s="1"/>
      <c r="B25" s="35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5" t="s">
        <v>106</v>
      </c>
      <c r="C28" s="20"/>
      <c r="D28" s="1"/>
    </row>
    <row r="29" spans="1:4" x14ac:dyDescent="0.45">
      <c r="A29" s="1"/>
      <c r="B29" s="57" t="s">
        <v>126</v>
      </c>
      <c r="C29" s="26">
        <v>0.02</v>
      </c>
      <c r="D29" s="1"/>
    </row>
    <row r="30" spans="1:4" x14ac:dyDescent="0.45">
      <c r="A30" s="1"/>
      <c r="B30" s="35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RxzCz7CM8PA+1BtCgNZrw57q280mzFAOEfQSNT+FtTqOR+5dv+etLkmCCIECoib9hkY9uHEFn09WI7pZjgNefQ==" saltValue="HrbUyYgWzaS6hq7IAnxbO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7.73046875" style="2" customWidth="1"/>
    <col min="3" max="3" width="12.26562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2" t="s">
        <v>181</v>
      </c>
      <c r="C3" s="82"/>
      <c r="D3" s="82"/>
      <c r="E3" s="1"/>
    </row>
    <row r="4" spans="1:5" ht="15" customHeight="1" x14ac:dyDescent="0.45">
      <c r="A4" s="1"/>
      <c r="B4" s="82"/>
      <c r="C4" s="82"/>
      <c r="D4" s="8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5" t="s">
        <v>14</v>
      </c>
      <c r="C8" s="36"/>
      <c r="D8" s="20"/>
      <c r="E8" s="1"/>
    </row>
    <row r="9" spans="1:5" x14ac:dyDescent="0.45">
      <c r="A9" s="1"/>
      <c r="B9" s="50" t="s">
        <v>26</v>
      </c>
      <c r="C9" s="7">
        <f>'Fane 3. Omkostninger i ØR2021'!E24</f>
        <v>120731453.92595902</v>
      </c>
      <c r="D9" s="8" t="s">
        <v>3</v>
      </c>
      <c r="E9" s="1"/>
    </row>
    <row r="10" spans="1:5" ht="17.100000000000001" customHeight="1" x14ac:dyDescent="0.45">
      <c r="A10" s="1"/>
      <c r="B10" s="48" t="s">
        <v>43</v>
      </c>
      <c r="C10" s="7">
        <f>'Fane 10.1. Varige tillæg'!C13</f>
        <v>1414457.3565000002</v>
      </c>
      <c r="D10" s="8" t="s">
        <v>3</v>
      </c>
      <c r="E10" s="1"/>
    </row>
    <row r="11" spans="1:5" ht="17.100000000000001" customHeight="1" x14ac:dyDescent="0.45">
      <c r="A11" s="1"/>
      <c r="B11" s="48" t="s">
        <v>44</v>
      </c>
      <c r="C11" s="9">
        <f>'Fane 10.1. Varige tillæg'!E13</f>
        <v>376497.35470000003</v>
      </c>
      <c r="D11" s="8" t="s">
        <v>3</v>
      </c>
      <c r="E11" s="1"/>
    </row>
    <row r="12" spans="1:5" ht="17.100000000000001" customHeight="1" x14ac:dyDescent="0.45">
      <c r="A12" s="1"/>
      <c r="B12" s="48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8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20</v>
      </c>
      <c r="C16" s="9">
        <f>SUM(C9:C15)*'Fane 14. Nøgletal'!C14</f>
        <v>404323.94850262476</v>
      </c>
      <c r="D16" s="8" t="s">
        <v>3</v>
      </c>
      <c r="E16" s="1"/>
    </row>
    <row r="17" spans="1:5" ht="17.100000000000001" customHeight="1" x14ac:dyDescent="0.45">
      <c r="A17" s="1"/>
      <c r="B17" s="48" t="s">
        <v>10</v>
      </c>
      <c r="C17" s="9">
        <f>-SUM(C9,C10:C16)*'Fane 5. Individuelt eff. krav'!G11</f>
        <v>0</v>
      </c>
      <c r="D17" s="8" t="s">
        <v>3</v>
      </c>
      <c r="E17" s="1"/>
    </row>
    <row r="18" spans="1:5" ht="17.100000000000001" customHeight="1" x14ac:dyDescent="0.45">
      <c r="A18" s="1"/>
      <c r="B18" s="48" t="s">
        <v>27</v>
      </c>
      <c r="C18" s="9">
        <f>-'Fane 4.1. Gen. krav - drift'!G42</f>
        <v>-846652.90546375781</v>
      </c>
      <c r="D18" s="8" t="s">
        <v>3</v>
      </c>
      <c r="E18" s="1"/>
    </row>
    <row r="19" spans="1:5" ht="15" customHeight="1" x14ac:dyDescent="0.45">
      <c r="A19" s="1"/>
      <c r="B19" s="48" t="s">
        <v>28</v>
      </c>
      <c r="C19" s="9">
        <f>-'Fane 4.2. Gen. krav - anlæg'!G39</f>
        <v>-1198572.5032864013</v>
      </c>
      <c r="D19" s="8" t="s">
        <v>3</v>
      </c>
      <c r="E19" s="1"/>
    </row>
    <row r="20" spans="1:5" ht="15" customHeight="1" x14ac:dyDescent="0.45">
      <c r="A20" s="1"/>
      <c r="B20" s="45" t="s">
        <v>22</v>
      </c>
      <c r="C20" s="10">
        <f>SUM(C9,C10:C19)</f>
        <v>120881507.17691149</v>
      </c>
      <c r="D20" s="11" t="s">
        <v>3</v>
      </c>
      <c r="E20" s="1"/>
    </row>
    <row r="21" spans="1:5" ht="15" customHeight="1" x14ac:dyDescent="0.45">
      <c r="A21" s="1"/>
      <c r="B21" s="35" t="s">
        <v>13</v>
      </c>
      <c r="C21" s="36"/>
      <c r="D21" s="20"/>
      <c r="E21" s="1"/>
    </row>
    <row r="22" spans="1:5" ht="15" customHeight="1" x14ac:dyDescent="0.45">
      <c r="A22" s="1"/>
      <c r="B22" s="60" t="s">
        <v>13</v>
      </c>
      <c r="C22" s="10">
        <f>'Fane 6. Ikke-påvirkelige omk.'!C16+'Fane 6. Ikke-påvirkelige omk.'!C20+'Fane 6. Ikke-påvirkelige omk.'!C28</f>
        <v>3635276.9236154831</v>
      </c>
      <c r="D22" s="11" t="s">
        <v>3</v>
      </c>
      <c r="E22" s="1"/>
    </row>
    <row r="23" spans="1:5" ht="15" customHeight="1" x14ac:dyDescent="0.45">
      <c r="A23" s="1"/>
      <c r="B23" s="35" t="s">
        <v>78</v>
      </c>
      <c r="C23" s="36"/>
      <c r="D23" s="20"/>
      <c r="E23" s="1"/>
    </row>
    <row r="24" spans="1:5" ht="15" customHeight="1" x14ac:dyDescent="0.45">
      <c r="A24" s="1"/>
      <c r="B24" s="45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5" t="s">
        <v>77</v>
      </c>
      <c r="C25" s="36"/>
      <c r="D25" s="20"/>
      <c r="E25" s="1"/>
    </row>
    <row r="26" spans="1:5" x14ac:dyDescent="0.45">
      <c r="A26" s="1"/>
      <c r="B26" s="48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8" t="s">
        <v>74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5" t="s">
        <v>79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5" t="s">
        <v>180</v>
      </c>
      <c r="C29" s="36"/>
      <c r="D29" s="20"/>
      <c r="E29" s="1"/>
    </row>
    <row r="30" spans="1:5" x14ac:dyDescent="0.45">
      <c r="A30" s="1"/>
      <c r="B30" s="60" t="s">
        <v>180</v>
      </c>
      <c r="C30" s="10">
        <f>'Fane 8. Korrektion af ØR2020'!E17</f>
        <v>0</v>
      </c>
      <c r="D30" s="11" t="s">
        <v>3</v>
      </c>
      <c r="E30" s="1"/>
    </row>
    <row r="31" spans="1:5" x14ac:dyDescent="0.45">
      <c r="A31" s="1"/>
      <c r="B31" s="35" t="s">
        <v>170</v>
      </c>
      <c r="C31" s="36"/>
      <c r="D31" s="20"/>
      <c r="E31" s="1"/>
    </row>
    <row r="32" spans="1:5" x14ac:dyDescent="0.45">
      <c r="A32" s="1"/>
      <c r="B32" s="60" t="s">
        <v>288</v>
      </c>
      <c r="C32" s="10">
        <f>'Fane 7. Kontrol af ØR2020'!E32</f>
        <v>0</v>
      </c>
      <c r="D32" s="11" t="s">
        <v>3</v>
      </c>
      <c r="E32" s="1"/>
    </row>
    <row r="33" spans="1:5" x14ac:dyDescent="0.45">
      <c r="A33" s="1"/>
      <c r="B33" s="37" t="s">
        <v>262</v>
      </c>
      <c r="C33" s="36"/>
      <c r="D33" s="20"/>
      <c r="E33" s="1"/>
    </row>
    <row r="34" spans="1:5" x14ac:dyDescent="0.45">
      <c r="A34" s="1"/>
      <c r="B34" s="58" t="s">
        <v>263</v>
      </c>
      <c r="C34" s="10">
        <v>0</v>
      </c>
      <c r="D34" s="11" t="s">
        <v>3</v>
      </c>
      <c r="E34" s="1"/>
    </row>
    <row r="35" spans="1:5" x14ac:dyDescent="0.45">
      <c r="A35" s="1"/>
      <c r="B35" s="35" t="s">
        <v>32</v>
      </c>
      <c r="C35" s="12">
        <f>SUM(C20,C22,C24,C28,C30,C32,C34)</f>
        <v>124516784.10052697</v>
      </c>
      <c r="D35" s="13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mofgHTT++oPpmnTqOFrAwmO1tDD2R9o0U2azyKLJFpdEnc48k7VIBdDBxhF+PhoJD4Tp2GbsLploesAS6DftxA==" saltValue="GRIVPhgTQZw4hzGNSSMOz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7304687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2" t="s">
        <v>182</v>
      </c>
      <c r="C3" s="82"/>
      <c r="D3" s="82"/>
      <c r="E3" s="1"/>
    </row>
    <row r="4" spans="1:5" ht="15" customHeight="1" x14ac:dyDescent="0.45">
      <c r="A4" s="1"/>
      <c r="B4" s="82"/>
      <c r="C4" s="82"/>
      <c r="D4" s="82"/>
      <c r="E4" s="1"/>
    </row>
    <row r="5" spans="1:5" x14ac:dyDescent="0.45">
      <c r="A5" s="1"/>
      <c r="B5" s="83"/>
      <c r="C5" s="83"/>
      <c r="D5" s="8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5" t="s">
        <v>14</v>
      </c>
      <c r="C8" s="36"/>
      <c r="D8" s="20"/>
      <c r="E8" s="1"/>
    </row>
    <row r="9" spans="1:5" ht="15" customHeight="1" x14ac:dyDescent="0.45">
      <c r="A9" s="1"/>
      <c r="B9" s="50" t="s">
        <v>109</v>
      </c>
      <c r="C9" s="7">
        <f>'Fane 2.1. Økonomisk ramme 2022'!C20</f>
        <v>120881507.17691149</v>
      </c>
      <c r="D9" s="8" t="s">
        <v>3</v>
      </c>
      <c r="E9" s="1"/>
    </row>
    <row r="10" spans="1:5" ht="15" customHeight="1" x14ac:dyDescent="0.45">
      <c r="A10" s="1"/>
      <c r="B10" s="48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41" t="s">
        <v>20</v>
      </c>
      <c r="C12" s="9">
        <f>SUM(C9:C11)*'Fane 14. Nøgletal'!C14</f>
        <v>398908.97368380788</v>
      </c>
      <c r="D12" s="8" t="s">
        <v>3</v>
      </c>
      <c r="E12" s="1"/>
    </row>
    <row r="13" spans="1:5" ht="15" customHeight="1" x14ac:dyDescent="0.45">
      <c r="A13" s="1"/>
      <c r="B13" s="41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41" t="s">
        <v>27</v>
      </c>
      <c r="C14" s="9">
        <f>-'Fane 4.1. Gen. krav - drift'!G49</f>
        <v>-832457.9228507526</v>
      </c>
      <c r="D14" s="8" t="s">
        <v>3</v>
      </c>
      <c r="E14" s="1"/>
    </row>
    <row r="15" spans="1:5" ht="15" customHeight="1" x14ac:dyDescent="0.45">
      <c r="A15" s="1"/>
      <c r="B15" s="41" t="s">
        <v>28</v>
      </c>
      <c r="C15" s="9">
        <f>-'Fane 4.2. Gen. krav - anlæg'!G46</f>
        <v>-1184730.3812175472</v>
      </c>
      <c r="D15" s="8" t="s">
        <v>3</v>
      </c>
      <c r="E15" s="1"/>
    </row>
    <row r="16" spans="1:5" ht="15" customHeight="1" x14ac:dyDescent="0.45">
      <c r="A16" s="1"/>
      <c r="B16" s="42" t="s">
        <v>22</v>
      </c>
      <c r="C16" s="10">
        <f>SUM(C9:C15)</f>
        <v>119263227.84652698</v>
      </c>
      <c r="D16" s="11" t="s">
        <v>3</v>
      </c>
      <c r="E16" s="1"/>
    </row>
    <row r="17" spans="1:5" ht="15" customHeight="1" x14ac:dyDescent="0.45">
      <c r="A17" s="1"/>
      <c r="B17" s="35" t="s">
        <v>13</v>
      </c>
      <c r="C17" s="36"/>
      <c r="D17" s="20"/>
      <c r="E17" s="1"/>
    </row>
    <row r="18" spans="1:5" ht="15" customHeight="1" x14ac:dyDescent="0.45">
      <c r="A18" s="1"/>
      <c r="B18" s="60" t="s">
        <v>13</v>
      </c>
      <c r="C18" s="10">
        <f>'Fane 6. Ikke-påvirkelige omk.'!C16*(1+'Fane 14. Nøgletal'!C14)+'Fane 6. Ikke-påvirkelige omk.'!C21+'Fane 6. Ikke-påvirkelige omk.'!C29</f>
        <v>3647273.3374634143</v>
      </c>
      <c r="D18" s="11" t="s">
        <v>3</v>
      </c>
      <c r="E18" s="1"/>
    </row>
    <row r="19" spans="1:5" ht="15" customHeight="1" x14ac:dyDescent="0.45">
      <c r="A19" s="1"/>
      <c r="B19" s="35" t="s">
        <v>78</v>
      </c>
      <c r="C19" s="36"/>
      <c r="D19" s="20"/>
      <c r="E19" s="1"/>
    </row>
    <row r="20" spans="1:5" ht="15" customHeight="1" x14ac:dyDescent="0.45">
      <c r="A20" s="1"/>
      <c r="B20" s="45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45">
      <c r="A21" s="1"/>
      <c r="B21" s="35" t="s">
        <v>77</v>
      </c>
      <c r="C21" s="36"/>
      <c r="D21" s="20"/>
      <c r="E21" s="1"/>
    </row>
    <row r="22" spans="1:5" ht="15" customHeight="1" x14ac:dyDescent="0.45">
      <c r="A22" s="1"/>
      <c r="B22" s="48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5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45">
      <c r="A25" s="1"/>
      <c r="B25" s="35" t="s">
        <v>171</v>
      </c>
      <c r="C25" s="36"/>
      <c r="D25" s="20"/>
      <c r="E25" s="1"/>
    </row>
    <row r="26" spans="1:5" ht="15" customHeight="1" x14ac:dyDescent="0.45">
      <c r="A26" s="1"/>
      <c r="B26" s="60" t="s">
        <v>288</v>
      </c>
      <c r="C26" s="10">
        <f>'Fane 7. Kontrol af ØR2020'!E32</f>
        <v>0</v>
      </c>
      <c r="D26" s="11" t="s">
        <v>3</v>
      </c>
      <c r="E26" s="1"/>
    </row>
    <row r="27" spans="1:5" x14ac:dyDescent="0.45">
      <c r="A27" s="1"/>
      <c r="B27" s="37" t="s">
        <v>262</v>
      </c>
      <c r="C27" s="36"/>
      <c r="D27" s="20"/>
      <c r="E27" s="1"/>
    </row>
    <row r="28" spans="1:5" x14ac:dyDescent="0.45">
      <c r="A28" s="1"/>
      <c r="B28" s="58" t="s">
        <v>263</v>
      </c>
      <c r="C28" s="10">
        <v>0</v>
      </c>
      <c r="D28" s="11" t="s">
        <v>3</v>
      </c>
      <c r="E28" s="1"/>
    </row>
    <row r="29" spans="1:5" ht="15" customHeight="1" x14ac:dyDescent="0.45">
      <c r="A29" s="1"/>
      <c r="B29" s="35" t="s">
        <v>86</v>
      </c>
      <c r="C29" s="12">
        <f>SUM(C16,C18,C20,C24,C26,C28)</f>
        <v>122910501.18399039</v>
      </c>
      <c r="D29" s="13" t="s">
        <v>3</v>
      </c>
      <c r="E29" s="1"/>
    </row>
    <row r="30" spans="1:5" ht="15" customHeight="1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dKGkthEnBKkKuzM0gVmpNv5bDcm4bHqJ4OI74NF3oUR2CzBi2s7JFtzLSB87BaE5N9RkcuUUk59l2SkVxeXKTg==" saltValue="GLYrG+IGhHWOC6MXb9Dg8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2" t="s">
        <v>183</v>
      </c>
      <c r="C3" s="82"/>
      <c r="D3" s="82"/>
      <c r="E3" s="1"/>
    </row>
    <row r="4" spans="1:5" ht="15" customHeight="1" x14ac:dyDescent="0.45">
      <c r="A4" s="1"/>
      <c r="B4" s="82"/>
      <c r="C4" s="82"/>
      <c r="D4" s="82"/>
      <c r="E4" s="1"/>
    </row>
    <row r="5" spans="1:5" x14ac:dyDescent="0.45">
      <c r="A5" s="1"/>
      <c r="B5" s="83" t="s">
        <v>23</v>
      </c>
      <c r="C5" s="83"/>
      <c r="D5" s="8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5" t="s">
        <v>14</v>
      </c>
      <c r="C7" s="36"/>
      <c r="D7" s="20"/>
      <c r="E7" s="1"/>
    </row>
    <row r="8" spans="1:5" ht="15" customHeight="1" x14ac:dyDescent="0.45">
      <c r="A8" s="1"/>
      <c r="B8" s="50" t="s">
        <v>139</v>
      </c>
      <c r="C8" s="7">
        <f>'Fane 2.2. Økonomisk ramme 2023'!C16</f>
        <v>119263227.84652698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Nøgletal'!C14</f>
        <v>393568.651893539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krav'!G11</f>
        <v>0</v>
      </c>
      <c r="D12" s="8" t="s">
        <v>3</v>
      </c>
      <c r="E12" s="1"/>
    </row>
    <row r="13" spans="1:5" ht="15" customHeight="1" x14ac:dyDescent="0.45">
      <c r="A13" s="1"/>
      <c r="B13" s="41" t="s">
        <v>27</v>
      </c>
      <c r="C13" s="9">
        <f>-'Fane 4.1. Gen. krav - drift'!G56</f>
        <v>-818500.93331623706</v>
      </c>
      <c r="D13" s="8" t="s">
        <v>3</v>
      </c>
      <c r="E13" s="1"/>
    </row>
    <row r="14" spans="1:5" ht="15" customHeight="1" x14ac:dyDescent="0.45">
      <c r="A14" s="1"/>
      <c r="B14" s="41" t="s">
        <v>28</v>
      </c>
      <c r="C14" s="9">
        <f>-'Fane 4.2. Gen. krav - anlæg'!G52</f>
        <v>-1171048.119601727</v>
      </c>
      <c r="D14" s="8" t="s">
        <v>3</v>
      </c>
      <c r="E14" s="1"/>
    </row>
    <row r="15" spans="1:5" x14ac:dyDescent="0.45">
      <c r="A15" s="1"/>
      <c r="B15" s="42" t="s">
        <v>22</v>
      </c>
      <c r="C15" s="10">
        <f>SUM(C8:C14)</f>
        <v>117667247.44550256</v>
      </c>
      <c r="D15" s="11" t="s">
        <v>3</v>
      </c>
      <c r="E15" s="1"/>
    </row>
    <row r="16" spans="1:5" x14ac:dyDescent="0.45">
      <c r="A16" s="1"/>
      <c r="B16" s="35" t="s">
        <v>13</v>
      </c>
      <c r="C16" s="36"/>
      <c r="D16" s="20"/>
      <c r="E16" s="1"/>
    </row>
    <row r="17" spans="1:5" ht="15" customHeight="1" x14ac:dyDescent="0.45">
      <c r="A17" s="1"/>
      <c r="B17" s="60" t="s">
        <v>13</v>
      </c>
      <c r="C17" s="10">
        <f>'Fane 6. Ikke-påvirkelige omk.'!C16*(1+'Fane 14. Nøgletal'!C14)^2+'Fane 6. Ikke-påvirkelige omk.'!C22+'Fane 6. Ikke-påvirkelige omk.'!C30</f>
        <v>3659309.3394770441</v>
      </c>
      <c r="D17" s="11" t="s">
        <v>3</v>
      </c>
      <c r="E17" s="1"/>
    </row>
    <row r="18" spans="1:5" ht="15" customHeight="1" x14ac:dyDescent="0.45">
      <c r="A18" s="1"/>
      <c r="B18" s="35" t="s">
        <v>78</v>
      </c>
      <c r="C18" s="36"/>
      <c r="D18" s="20"/>
      <c r="E18" s="1"/>
    </row>
    <row r="19" spans="1:5" ht="15" customHeight="1" x14ac:dyDescent="0.45">
      <c r="A19" s="1"/>
      <c r="B19" s="45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45">
      <c r="A20" s="1"/>
      <c r="B20" s="35" t="s">
        <v>77</v>
      </c>
      <c r="C20" s="36"/>
      <c r="D20" s="20"/>
      <c r="E20" s="1"/>
    </row>
    <row r="21" spans="1:5" ht="15" customHeight="1" x14ac:dyDescent="0.45">
      <c r="A21" s="1"/>
      <c r="B21" s="48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45">
      <c r="A22" s="1"/>
      <c r="B22" s="48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45">
      <c r="A23" s="1"/>
      <c r="B23" s="45" t="s">
        <v>79</v>
      </c>
      <c r="C23" s="10">
        <f>SUM(C21:C22)</f>
        <v>0</v>
      </c>
      <c r="D23" s="11" t="s">
        <v>3</v>
      </c>
      <c r="E23" s="1"/>
    </row>
    <row r="24" spans="1:5" x14ac:dyDescent="0.45">
      <c r="A24" s="1"/>
      <c r="B24" s="37" t="s">
        <v>262</v>
      </c>
      <c r="C24" s="36"/>
      <c r="D24" s="20"/>
      <c r="E24" s="1"/>
    </row>
    <row r="25" spans="1:5" x14ac:dyDescent="0.45">
      <c r="A25" s="1"/>
      <c r="B25" s="58" t="s">
        <v>263</v>
      </c>
      <c r="C25" s="10">
        <v>0</v>
      </c>
      <c r="D25" s="11" t="s">
        <v>3</v>
      </c>
      <c r="E25" s="1"/>
    </row>
    <row r="26" spans="1:5" x14ac:dyDescent="0.45">
      <c r="A26" s="1"/>
      <c r="B26" s="35" t="s">
        <v>140</v>
      </c>
      <c r="C26" s="12">
        <f>SUM(C15,C17,C19,C23,C25)</f>
        <v>121326556.78497961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P5UoKOYqYQe1U//bNcJCJqajTH5zysxZbln23jNuIJdAmvolO49oUekOcw6HNAIL4AalqEnD3YMywZbohGLirg==" saltValue="QOgihNDrhzBTvdqKdeE2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86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2" t="s">
        <v>184</v>
      </c>
      <c r="C3" s="82"/>
      <c r="D3" s="82"/>
      <c r="E3" s="1"/>
    </row>
    <row r="4" spans="1:5" ht="15" customHeight="1" x14ac:dyDescent="0.45">
      <c r="A4" s="1"/>
      <c r="B4" s="82"/>
      <c r="C4" s="82"/>
      <c r="D4" s="82"/>
      <c r="E4" s="1"/>
    </row>
    <row r="5" spans="1:5" x14ac:dyDescent="0.45">
      <c r="A5" s="1"/>
      <c r="B5" s="83" t="s">
        <v>23</v>
      </c>
      <c r="C5" s="83"/>
      <c r="D5" s="8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5" t="s">
        <v>14</v>
      </c>
      <c r="C7" s="36"/>
      <c r="D7" s="20"/>
      <c r="E7" s="1"/>
    </row>
    <row r="8" spans="1:5" ht="15" customHeight="1" x14ac:dyDescent="0.45">
      <c r="A8" s="1"/>
      <c r="B8" s="50" t="s">
        <v>185</v>
      </c>
      <c r="C8" s="7">
        <f>'Fane 2.3. Økonomisk ramme 2024'!C15</f>
        <v>117667247.44550256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Nøgletal'!C14</f>
        <v>388301.91657015844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krav'!G11</f>
        <v>0</v>
      </c>
      <c r="D12" s="8" t="s">
        <v>3</v>
      </c>
      <c r="E12" s="1"/>
    </row>
    <row r="13" spans="1:5" ht="15" customHeight="1" x14ac:dyDescent="0.45">
      <c r="A13" s="1"/>
      <c r="B13" s="41" t="s">
        <v>27</v>
      </c>
      <c r="C13" s="9">
        <f>-'Fane 4.1. Gen. krav - drift'!G62</f>
        <v>-804777.94666825712</v>
      </c>
      <c r="D13" s="8" t="s">
        <v>3</v>
      </c>
      <c r="E13" s="1"/>
    </row>
    <row r="14" spans="1:5" ht="15" customHeight="1" x14ac:dyDescent="0.45">
      <c r="A14" s="1"/>
      <c r="B14" s="41" t="s">
        <v>28</v>
      </c>
      <c r="C14" s="9">
        <f>-'Fane 4.2. Gen. krav - anlæg'!G58</f>
        <v>-1157523.8722361457</v>
      </c>
      <c r="D14" s="8" t="s">
        <v>3</v>
      </c>
      <c r="E14" s="1"/>
    </row>
    <row r="15" spans="1:5" x14ac:dyDescent="0.45">
      <c r="A15" s="1"/>
      <c r="B15" s="42" t="s">
        <v>22</v>
      </c>
      <c r="C15" s="10">
        <f>SUM(C8:C14)</f>
        <v>116093247.54316832</v>
      </c>
      <c r="D15" s="11" t="s">
        <v>3</v>
      </c>
      <c r="E15" s="1"/>
    </row>
    <row r="16" spans="1:5" x14ac:dyDescent="0.45">
      <c r="A16" s="1"/>
      <c r="B16" s="35" t="s">
        <v>13</v>
      </c>
      <c r="C16" s="36"/>
      <c r="D16" s="20"/>
      <c r="E16" s="1"/>
    </row>
    <row r="17" spans="1:5" ht="15" customHeight="1" x14ac:dyDescent="0.45">
      <c r="A17" s="1"/>
      <c r="B17" s="60" t="s">
        <v>13</v>
      </c>
      <c r="C17" s="10">
        <f>'Fane 6. Ikke-påvirkelige omk.'!C16*(1+'Fane 14. Nøgletal'!C14)^3+'Fane 6. Ikke-påvirkelige omk.'!C23+'Fane 6. Ikke-påvirkelige omk.'!C31</f>
        <v>3671385.0602973187</v>
      </c>
      <c r="D17" s="11" t="s">
        <v>3</v>
      </c>
      <c r="E17" s="1"/>
    </row>
    <row r="18" spans="1:5" ht="15" customHeight="1" x14ac:dyDescent="0.45">
      <c r="A18" s="1"/>
      <c r="B18" s="35" t="s">
        <v>78</v>
      </c>
      <c r="C18" s="36"/>
      <c r="D18" s="20"/>
      <c r="E18" s="1"/>
    </row>
    <row r="19" spans="1:5" ht="15" customHeight="1" x14ac:dyDescent="0.45">
      <c r="A19" s="1"/>
      <c r="B19" s="45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45">
      <c r="A20" s="1"/>
      <c r="B20" s="35" t="s">
        <v>77</v>
      </c>
      <c r="C20" s="36"/>
      <c r="D20" s="20"/>
      <c r="E20" s="1"/>
    </row>
    <row r="21" spans="1:5" ht="15" customHeight="1" x14ac:dyDescent="0.45">
      <c r="A21" s="1"/>
      <c r="B21" s="48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45">
      <c r="A22" s="1"/>
      <c r="B22" s="48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45">
      <c r="A23" s="1"/>
      <c r="B23" s="45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5" t="s">
        <v>186</v>
      </c>
      <c r="C24" s="12">
        <f>SUM(C15,C17,C19,C23)</f>
        <v>119764632.60346565</v>
      </c>
      <c r="D24" s="13" t="s">
        <v>3</v>
      </c>
      <c r="E24" s="1"/>
    </row>
    <row r="25" spans="1:5" ht="15" customHeight="1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qwnHeScIX15A4Oxlqi1wSV8gMkBpc2q+cHPd+/pSQfoaXnqADQTf7NGixXGJQiaWR0kf+xFvmz498hHQ2DHPow==" saltValue="qNIcPUfkg7gujl5EjVcU/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2" width="12.1328125" style="2" customWidth="1"/>
    <col min="3" max="3" width="12" style="2" customWidth="1"/>
    <col min="4" max="4" width="31.73046875" style="2" customWidth="1"/>
    <col min="5" max="5" width="10.86328125" style="2" bestFit="1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187</v>
      </c>
      <c r="C3" s="84"/>
      <c r="D3" s="84"/>
      <c r="E3" s="84"/>
      <c r="F3" s="84"/>
      <c r="G3" s="1"/>
    </row>
    <row r="4" spans="1:7" ht="29.2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5" t="s">
        <v>188</v>
      </c>
      <c r="C8" s="36"/>
      <c r="D8" s="36"/>
      <c r="E8" s="36"/>
      <c r="F8" s="20"/>
      <c r="G8" s="1"/>
    </row>
    <row r="9" spans="1:7" x14ac:dyDescent="0.45">
      <c r="A9" s="1"/>
      <c r="B9" s="85" t="s">
        <v>25</v>
      </c>
      <c r="C9" s="86"/>
      <c r="D9" s="87"/>
      <c r="E9" s="7">
        <v>120198428.96764927</v>
      </c>
      <c r="F9" s="8" t="s">
        <v>3</v>
      </c>
      <c r="G9" s="1"/>
    </row>
    <row r="10" spans="1:7" ht="14.25" customHeight="1" x14ac:dyDescent="0.45">
      <c r="A10" s="1"/>
      <c r="B10" s="91" t="s">
        <v>227</v>
      </c>
      <c r="C10" s="92"/>
      <c r="D10" s="93"/>
      <c r="E10" s="7">
        <v>-192767.76801671408</v>
      </c>
      <c r="F10" s="8" t="s">
        <v>3</v>
      </c>
      <c r="G10" s="1"/>
    </row>
    <row r="11" spans="1:7" ht="14.25" customHeight="1" x14ac:dyDescent="0.45">
      <c r="A11" s="1"/>
      <c r="B11" s="91" t="s">
        <v>228</v>
      </c>
      <c r="C11" s="92"/>
      <c r="D11" s="93"/>
      <c r="E11" s="7">
        <v>244805.41183050332</v>
      </c>
      <c r="F11" s="8" t="s">
        <v>3</v>
      </c>
      <c r="G11" s="1"/>
    </row>
    <row r="12" spans="1:7" x14ac:dyDescent="0.45">
      <c r="A12" s="1"/>
      <c r="B12" s="91" t="s">
        <v>189</v>
      </c>
      <c r="C12" s="92"/>
      <c r="D12" s="93"/>
      <c r="E12" s="9">
        <v>0</v>
      </c>
      <c r="F12" s="8" t="s">
        <v>3</v>
      </c>
      <c r="G12" s="1"/>
    </row>
    <row r="13" spans="1:7" x14ac:dyDescent="0.45">
      <c r="A13" s="1"/>
      <c r="B13" s="91" t="s">
        <v>190</v>
      </c>
      <c r="C13" s="92"/>
      <c r="D13" s="93"/>
      <c r="E13" s="9">
        <v>693031.0264346411</v>
      </c>
      <c r="F13" s="8" t="s">
        <v>3</v>
      </c>
      <c r="G13" s="1"/>
    </row>
    <row r="14" spans="1:7" x14ac:dyDescent="0.45">
      <c r="A14" s="1"/>
      <c r="B14" s="88" t="s">
        <v>43</v>
      </c>
      <c r="C14" s="89"/>
      <c r="D14" s="90"/>
      <c r="E14" s="9">
        <v>0</v>
      </c>
      <c r="F14" s="8" t="s">
        <v>3</v>
      </c>
      <c r="G14" s="1"/>
    </row>
    <row r="15" spans="1:7" x14ac:dyDescent="0.45">
      <c r="A15" s="1"/>
      <c r="B15" s="88" t="s">
        <v>44</v>
      </c>
      <c r="C15" s="89"/>
      <c r="D15" s="90"/>
      <c r="E15" s="9">
        <v>711876.21120000002</v>
      </c>
      <c r="F15" s="8" t="s">
        <v>3</v>
      </c>
      <c r="G15" s="1"/>
    </row>
    <row r="16" spans="1:7" x14ac:dyDescent="0.45">
      <c r="A16" s="1"/>
      <c r="B16" s="88" t="s">
        <v>30</v>
      </c>
      <c r="C16" s="89"/>
      <c r="D16" s="90"/>
      <c r="E16" s="9">
        <v>0</v>
      </c>
      <c r="F16" s="8" t="s">
        <v>3</v>
      </c>
      <c r="G16" s="1"/>
    </row>
    <row r="17" spans="1:7" x14ac:dyDescent="0.45">
      <c r="A17" s="1"/>
      <c r="B17" s="88" t="s">
        <v>29</v>
      </c>
      <c r="C17" s="89"/>
      <c r="D17" s="90"/>
      <c r="E17" s="9">
        <v>0</v>
      </c>
      <c r="F17" s="8" t="s">
        <v>3</v>
      </c>
      <c r="G17" s="1"/>
    </row>
    <row r="18" spans="1:7" x14ac:dyDescent="0.45">
      <c r="A18" s="1"/>
      <c r="B18" s="88" t="s">
        <v>137</v>
      </c>
      <c r="C18" s="89"/>
      <c r="D18" s="90"/>
      <c r="E18" s="9">
        <v>0</v>
      </c>
      <c r="F18" s="8" t="s">
        <v>3</v>
      </c>
      <c r="G18" s="1"/>
    </row>
    <row r="19" spans="1:7" x14ac:dyDescent="0.45">
      <c r="A19" s="1"/>
      <c r="B19" s="88" t="s">
        <v>138</v>
      </c>
      <c r="C19" s="89"/>
      <c r="D19" s="90"/>
      <c r="E19" s="9">
        <v>0</v>
      </c>
      <c r="F19" s="8" t="s">
        <v>3</v>
      </c>
      <c r="G19" s="1"/>
    </row>
    <row r="20" spans="1:7" x14ac:dyDescent="0.45">
      <c r="A20" s="1"/>
      <c r="B20" s="88" t="s">
        <v>20</v>
      </c>
      <c r="C20" s="89"/>
      <c r="D20" s="90"/>
      <c r="E20" s="9">
        <v>2113650.84238237</v>
      </c>
      <c r="F20" s="8" t="s">
        <v>3</v>
      </c>
      <c r="G20" s="1"/>
    </row>
    <row r="21" spans="1:7" x14ac:dyDescent="0.45">
      <c r="A21" s="1"/>
      <c r="B21" s="88" t="s">
        <v>10</v>
      </c>
      <c r="C21" s="89"/>
      <c r="D21" s="90"/>
      <c r="E21" s="9">
        <v>0</v>
      </c>
      <c r="F21" s="8" t="s">
        <v>3</v>
      </c>
      <c r="G21" s="1"/>
    </row>
    <row r="22" spans="1:7" x14ac:dyDescent="0.45">
      <c r="A22" s="1"/>
      <c r="B22" s="88" t="s">
        <v>27</v>
      </c>
      <c r="C22" s="89"/>
      <c r="D22" s="90"/>
      <c r="E22" s="9">
        <f>-'Fane 4.1. Gen. krav - drift'!G36</f>
        <v>-832223.46272426366</v>
      </c>
      <c r="F22" s="8" t="s">
        <v>3</v>
      </c>
      <c r="G22" s="1"/>
    </row>
    <row r="23" spans="1:7" x14ac:dyDescent="0.45">
      <c r="A23" s="1"/>
      <c r="B23" s="88" t="s">
        <v>28</v>
      </c>
      <c r="C23" s="89"/>
      <c r="D23" s="90"/>
      <c r="E23" s="9">
        <f>-'Fane 4.2. Gen. krav - anlæg'!G33</f>
        <v>-1460278.6325483413</v>
      </c>
      <c r="F23" s="8" t="s">
        <v>3</v>
      </c>
      <c r="G23" s="1"/>
    </row>
    <row r="24" spans="1:7" x14ac:dyDescent="0.45">
      <c r="A24" s="1"/>
      <c r="B24" s="100" t="s">
        <v>22</v>
      </c>
      <c r="C24" s="101"/>
      <c r="D24" s="102"/>
      <c r="E24" s="10">
        <f>SUM(E9,E14:E23)</f>
        <v>120731453.92595902</v>
      </c>
      <c r="F24" s="11" t="s">
        <v>3</v>
      </c>
      <c r="G24" s="1"/>
    </row>
    <row r="25" spans="1:7" x14ac:dyDescent="0.4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45">
      <c r="A26" s="1"/>
      <c r="B26" s="97" t="s">
        <v>13</v>
      </c>
      <c r="C26" s="98"/>
      <c r="D26" s="99"/>
      <c r="E26" s="10">
        <v>3076658.6935896003</v>
      </c>
      <c r="F26" s="10" t="s">
        <v>3</v>
      </c>
      <c r="G26" s="1"/>
    </row>
    <row r="27" spans="1:7" ht="14.25" customHeight="1" x14ac:dyDescent="0.45">
      <c r="A27" s="1"/>
      <c r="B27" s="35" t="s">
        <v>78</v>
      </c>
      <c r="C27" s="36"/>
      <c r="D27" s="36"/>
      <c r="E27" s="36"/>
      <c r="F27" s="20"/>
      <c r="G27" s="1"/>
    </row>
    <row r="28" spans="1:7" x14ac:dyDescent="0.45">
      <c r="A28" s="1"/>
      <c r="B28" s="103" t="s">
        <v>78</v>
      </c>
      <c r="C28" s="104"/>
      <c r="D28" s="105"/>
      <c r="E28" s="10">
        <v>0</v>
      </c>
      <c r="F28" s="10" t="s">
        <v>3</v>
      </c>
      <c r="G28" s="1"/>
    </row>
    <row r="29" spans="1:7" x14ac:dyDescent="0.4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45">
      <c r="A30" s="1"/>
      <c r="B30" s="91" t="s">
        <v>73</v>
      </c>
      <c r="C30" s="92"/>
      <c r="D30" s="93"/>
      <c r="E30" s="33">
        <v>0</v>
      </c>
      <c r="F30" s="8" t="s">
        <v>3</v>
      </c>
      <c r="G30" s="1"/>
    </row>
    <row r="31" spans="1:7" ht="15.75" customHeight="1" x14ac:dyDescent="0.45">
      <c r="A31" s="1"/>
      <c r="B31" s="91" t="s">
        <v>74</v>
      </c>
      <c r="C31" s="92"/>
      <c r="D31" s="93"/>
      <c r="E31" s="33">
        <v>0</v>
      </c>
      <c r="F31" s="8" t="s">
        <v>3</v>
      </c>
      <c r="G31" s="1"/>
    </row>
    <row r="32" spans="1:7" x14ac:dyDescent="0.45">
      <c r="A32" s="1"/>
      <c r="B32" s="45" t="s">
        <v>79</v>
      </c>
      <c r="C32" s="43"/>
      <c r="D32" s="44"/>
      <c r="E32" s="10">
        <v>0</v>
      </c>
      <c r="F32" s="11" t="s">
        <v>3</v>
      </c>
      <c r="G32" s="1"/>
    </row>
    <row r="33" spans="1:7" x14ac:dyDescent="0.45">
      <c r="A33" s="1"/>
      <c r="B33" s="35" t="s">
        <v>283</v>
      </c>
      <c r="C33" s="36"/>
      <c r="D33" s="36"/>
      <c r="E33" s="36"/>
      <c r="F33" s="20"/>
      <c r="G33" s="1"/>
    </row>
    <row r="34" spans="1:7" ht="15" customHeight="1" x14ac:dyDescent="0.45">
      <c r="A34" s="1"/>
      <c r="B34" s="97" t="s">
        <v>283</v>
      </c>
      <c r="C34" s="98"/>
      <c r="D34" s="99"/>
      <c r="E34" s="10">
        <v>0</v>
      </c>
      <c r="F34" s="11" t="s">
        <v>3</v>
      </c>
      <c r="G34" s="1"/>
    </row>
    <row r="35" spans="1:7" x14ac:dyDescent="0.45">
      <c r="A35" s="1"/>
      <c r="B35" s="35" t="s">
        <v>31</v>
      </c>
      <c r="C35" s="36"/>
      <c r="D35" s="36"/>
      <c r="E35" s="12">
        <f>E24+E26+E28+E32+E34</f>
        <v>123808112.61954862</v>
      </c>
      <c r="F35" s="13" t="s">
        <v>3</v>
      </c>
      <c r="G35" s="1"/>
    </row>
    <row r="36" spans="1:7" ht="26.85" customHeight="1" x14ac:dyDescent="0.45">
      <c r="A36" s="1"/>
      <c r="B36" s="94" t="s">
        <v>226</v>
      </c>
      <c r="C36" s="95"/>
      <c r="D36" s="95"/>
      <c r="E36" s="95"/>
      <c r="F36" s="96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RHAIEiaYCjQCHDmfJatJQKyhzfl/Ijl2mYcnWEwyKDXxjrLb+4Dg4VUdhTOIMMv56uFGCmgda2cnqqeL7hsFkA==" saltValue="o2vObVAjCZfEEO8LxQLJtw==" spinCount="100000" sheet="1" objects="1" scenarios="1"/>
  <mergeCells count="23"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  <mergeCell ref="B3:F4"/>
    <mergeCell ref="B9:D9"/>
    <mergeCell ref="B14:D14"/>
    <mergeCell ref="B15:D15"/>
    <mergeCell ref="B16:D16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84" t="s">
        <v>121</v>
      </c>
      <c r="C1" s="84"/>
      <c r="D1" s="84"/>
      <c r="E1" s="84"/>
      <c r="F1" s="84"/>
      <c r="G1" s="84"/>
      <c r="H1" s="84"/>
      <c r="I1" s="1"/>
    </row>
    <row r="2" spans="1:9" ht="15" customHeight="1" x14ac:dyDescent="0.45">
      <c r="A2" s="1"/>
      <c r="B2" s="84"/>
      <c r="C2" s="84"/>
      <c r="D2" s="84"/>
      <c r="E2" s="84"/>
      <c r="F2" s="84"/>
      <c r="G2" s="84"/>
      <c r="H2" s="84"/>
      <c r="I2" s="1"/>
    </row>
    <row r="3" spans="1:9" ht="15" customHeight="1" x14ac:dyDescent="0.45">
      <c r="A3" s="1"/>
      <c r="B3" s="84"/>
      <c r="C3" s="84"/>
      <c r="D3" s="84"/>
      <c r="E3" s="84"/>
      <c r="F3" s="84"/>
      <c r="G3" s="84"/>
      <c r="H3" s="84"/>
      <c r="I3" s="1"/>
    </row>
    <row r="4" spans="1:9" x14ac:dyDescent="0.45">
      <c r="A4" s="1"/>
      <c r="B4" s="106" t="s">
        <v>229</v>
      </c>
      <c r="C4" s="107"/>
      <c r="D4" s="107"/>
      <c r="E4" s="107"/>
      <c r="F4" s="107"/>
      <c r="G4" s="107"/>
      <c r="H4" s="108"/>
      <c r="I4" s="1"/>
    </row>
    <row r="5" spans="1:9" x14ac:dyDescent="0.45">
      <c r="A5" s="1"/>
      <c r="B5" s="109" t="s">
        <v>230</v>
      </c>
      <c r="C5" s="110"/>
      <c r="D5" s="110"/>
      <c r="E5" s="110"/>
      <c r="F5" s="111"/>
      <c r="G5" s="24">
        <v>42129081.489402078</v>
      </c>
      <c r="H5" s="14" t="s">
        <v>3</v>
      </c>
      <c r="I5" s="1"/>
    </row>
    <row r="6" spans="1:9" ht="15" customHeight="1" x14ac:dyDescent="0.45">
      <c r="A6" s="1"/>
      <c r="B6" s="94" t="s">
        <v>231</v>
      </c>
      <c r="C6" s="95"/>
      <c r="D6" s="95"/>
      <c r="E6" s="95"/>
      <c r="F6" s="96"/>
      <c r="G6" s="9">
        <v>0</v>
      </c>
      <c r="H6" s="14" t="s">
        <v>3</v>
      </c>
      <c r="I6" s="1"/>
    </row>
    <row r="7" spans="1:9" x14ac:dyDescent="0.45">
      <c r="A7" s="1"/>
      <c r="B7" s="109" t="s">
        <v>232</v>
      </c>
      <c r="C7" s="110"/>
      <c r="D7" s="110"/>
      <c r="E7" s="110"/>
      <c r="F7" s="111"/>
      <c r="G7" s="24">
        <f>SUM(G5:G6)*'Fane 14. Nøgletal'!C29</f>
        <v>842581.62978804158</v>
      </c>
      <c r="H7" s="14" t="s">
        <v>3</v>
      </c>
      <c r="I7" s="1"/>
    </row>
    <row r="8" spans="1:9" x14ac:dyDescent="0.4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06" t="s">
        <v>53</v>
      </c>
      <c r="C10" s="107"/>
      <c r="D10" s="107"/>
      <c r="E10" s="107"/>
      <c r="F10" s="107"/>
      <c r="G10" s="107"/>
      <c r="H10" s="108"/>
      <c r="I10" s="1"/>
    </row>
    <row r="11" spans="1:9" x14ac:dyDescent="0.45">
      <c r="A11" s="1"/>
      <c r="B11" s="109" t="s">
        <v>233</v>
      </c>
      <c r="C11" s="110"/>
      <c r="D11" s="110"/>
      <c r="E11" s="110"/>
      <c r="F11" s="111"/>
      <c r="G11" s="24">
        <f>(G5-G7)*(1+'Fane 14. Nøgletal'!C10)</f>
        <v>42009013.607157283</v>
      </c>
      <c r="H11" s="14" t="s">
        <v>3</v>
      </c>
      <c r="I11" s="1"/>
    </row>
    <row r="12" spans="1:9" x14ac:dyDescent="0.45">
      <c r="A12" s="1"/>
      <c r="B12" s="109" t="s">
        <v>133</v>
      </c>
      <c r="C12" s="110"/>
      <c r="D12" s="110"/>
      <c r="E12" s="110"/>
      <c r="F12" s="111"/>
      <c r="G12" s="24">
        <v>-40377.518339376096</v>
      </c>
      <c r="H12" s="14" t="s">
        <v>3</v>
      </c>
      <c r="I12" s="1"/>
    </row>
    <row r="13" spans="1:9" x14ac:dyDescent="0.45">
      <c r="A13" s="1"/>
      <c r="B13" s="94" t="s">
        <v>131</v>
      </c>
      <c r="C13" s="95"/>
      <c r="D13" s="95"/>
      <c r="E13" s="95"/>
      <c r="F13" s="96"/>
      <c r="G13" s="9">
        <v>0</v>
      </c>
      <c r="H13" s="14" t="s">
        <v>3</v>
      </c>
      <c r="I13" s="1"/>
    </row>
    <row r="14" spans="1:9" x14ac:dyDescent="0.45">
      <c r="A14" s="1"/>
      <c r="B14" s="117" t="s">
        <v>234</v>
      </c>
      <c r="C14" s="115"/>
      <c r="D14" s="115"/>
      <c r="E14" s="115"/>
      <c r="F14" s="116"/>
      <c r="G14" s="24">
        <v>198061.33276875003</v>
      </c>
      <c r="H14" s="14" t="s">
        <v>3</v>
      </c>
      <c r="I14" s="1"/>
    </row>
    <row r="15" spans="1:9" x14ac:dyDescent="0.45">
      <c r="A15" s="1"/>
      <c r="B15" s="109" t="s">
        <v>46</v>
      </c>
      <c r="C15" s="110"/>
      <c r="D15" s="110"/>
      <c r="E15" s="110"/>
      <c r="F15" s="111"/>
      <c r="G15" s="24">
        <f>SUM(G11:G14)*'Fane 14. Nøgletal'!C29</f>
        <v>843333.9484317333</v>
      </c>
      <c r="H15" s="14" t="s">
        <v>3</v>
      </c>
      <c r="I15" s="1"/>
    </row>
    <row r="16" spans="1:9" x14ac:dyDescent="0.4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06" t="s">
        <v>54</v>
      </c>
      <c r="C18" s="107"/>
      <c r="D18" s="107"/>
      <c r="E18" s="107"/>
      <c r="F18" s="107"/>
      <c r="G18" s="107"/>
      <c r="H18" s="108"/>
      <c r="I18" s="1"/>
    </row>
    <row r="19" spans="1:9" x14ac:dyDescent="0.45">
      <c r="A19" s="1"/>
      <c r="B19" s="109" t="s">
        <v>47</v>
      </c>
      <c r="C19" s="110"/>
      <c r="D19" s="110"/>
      <c r="E19" s="110"/>
      <c r="F19" s="111"/>
      <c r="G19" s="24">
        <f>(G11+G12+G14-G15)*(1+'Fane 14. Nøgletal'!C10)</f>
        <v>42046522.333935149</v>
      </c>
      <c r="H19" s="14" t="s">
        <v>3</v>
      </c>
      <c r="I19" s="1"/>
    </row>
    <row r="20" spans="1:9" x14ac:dyDescent="0.45">
      <c r="A20" s="1"/>
      <c r="B20" s="117" t="s">
        <v>48</v>
      </c>
      <c r="C20" s="115"/>
      <c r="D20" s="115"/>
      <c r="E20" s="115"/>
      <c r="F20" s="116"/>
      <c r="G20" s="24">
        <v>-197380.39790669107</v>
      </c>
      <c r="H20" s="14" t="s">
        <v>3</v>
      </c>
      <c r="I20" s="1"/>
    </row>
    <row r="21" spans="1:9" x14ac:dyDescent="0.45">
      <c r="A21" s="1"/>
      <c r="B21" s="109" t="s">
        <v>49</v>
      </c>
      <c r="C21" s="110"/>
      <c r="D21" s="110"/>
      <c r="E21" s="110"/>
      <c r="F21" s="111"/>
      <c r="G21" s="24">
        <f>(G19+G20)*'Fane 14. Nøgletal'!C29</f>
        <v>836982.83872056915</v>
      </c>
      <c r="H21" s="14" t="s">
        <v>3</v>
      </c>
      <c r="I21" s="1"/>
    </row>
    <row r="22" spans="1:9" x14ac:dyDescent="0.4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06" t="s">
        <v>55</v>
      </c>
      <c r="C24" s="107"/>
      <c r="D24" s="107"/>
      <c r="E24" s="107"/>
      <c r="F24" s="107"/>
      <c r="G24" s="107"/>
      <c r="H24" s="108"/>
      <c r="I24" s="1"/>
    </row>
    <row r="25" spans="1:9" x14ac:dyDescent="0.45">
      <c r="A25" s="1"/>
      <c r="B25" s="109" t="s">
        <v>50</v>
      </c>
      <c r="C25" s="110"/>
      <c r="D25" s="110"/>
      <c r="E25" s="110"/>
      <c r="F25" s="111"/>
      <c r="G25" s="24">
        <f>G19*(1-'Fane 14. Nøgletal'!C29)*(1+'Fane 14. Nøgletal'!C10)+G20*(1-'Fane 14. Nøgletal'!C29)*(1+'Fane 14. Nøgletal'!C11)</f>
        <v>41729987.941184744</v>
      </c>
      <c r="H25" s="14" t="s">
        <v>3</v>
      </c>
      <c r="I25" s="1"/>
    </row>
    <row r="26" spans="1:9" x14ac:dyDescent="0.45">
      <c r="A26" s="1"/>
      <c r="B26" s="112" t="s">
        <v>235</v>
      </c>
      <c r="C26" s="113"/>
      <c r="D26" s="113"/>
      <c r="E26" s="113"/>
      <c r="F26" s="114"/>
      <c r="G26" s="24">
        <f>G20*(1-'Fane 14. Nøgletal'!C29)*(1+'Fane 14. Nøgletal'!C11)</f>
        <v>-196701.80409868783</v>
      </c>
      <c r="H26" s="14" t="s">
        <v>3</v>
      </c>
      <c r="I26" s="1"/>
    </row>
    <row r="27" spans="1:9" x14ac:dyDescent="0.45">
      <c r="A27" s="1"/>
      <c r="B27" s="117" t="s">
        <v>51</v>
      </c>
      <c r="C27" s="115"/>
      <c r="D27" s="115"/>
      <c r="E27" s="115"/>
      <c r="F27" s="116"/>
      <c r="G27" s="9">
        <v>0</v>
      </c>
      <c r="H27" s="14" t="s">
        <v>3</v>
      </c>
      <c r="I27" s="1"/>
    </row>
    <row r="28" spans="1:9" x14ac:dyDescent="0.45">
      <c r="A28" s="1"/>
      <c r="B28" s="109" t="s">
        <v>52</v>
      </c>
      <c r="C28" s="110"/>
      <c r="D28" s="110"/>
      <c r="E28" s="110"/>
      <c r="F28" s="111"/>
      <c r="G28" s="24">
        <f>SUM(G25,G27)*'Fane 14. Nøgletal'!C29</f>
        <v>834599.75882369489</v>
      </c>
      <c r="H28" s="14" t="s">
        <v>3</v>
      </c>
      <c r="I28" s="1"/>
    </row>
    <row r="29" spans="1:9" x14ac:dyDescent="0.4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6" t="s">
        <v>56</v>
      </c>
      <c r="C31" s="107"/>
      <c r="D31" s="107"/>
      <c r="E31" s="107"/>
      <c r="F31" s="107"/>
      <c r="G31" s="107"/>
      <c r="H31" s="108"/>
      <c r="I31" s="1"/>
    </row>
    <row r="32" spans="1:9" x14ac:dyDescent="0.45">
      <c r="A32" s="1"/>
      <c r="B32" s="109" t="s">
        <v>57</v>
      </c>
      <c r="C32" s="110"/>
      <c r="D32" s="110"/>
      <c r="E32" s="110"/>
      <c r="F32" s="111"/>
      <c r="G32" s="24">
        <f>(G25-G26)*(1-'Fane 14. Nøgletal'!C29)*(1+'Fane 14. Nøgletal'!C10)+G26*(1-'Fane 14. Nøgletal'!C29)*(1+'Fane 14. Nøgletal'!C11)+G27*(1-'Fane 14. Nøgletal'!C29)*(1+'Fane 14. Nøgletal'!C12)</f>
        <v>41611173.136213183</v>
      </c>
      <c r="H32" s="14" t="s">
        <v>3</v>
      </c>
      <c r="I32" s="1"/>
    </row>
    <row r="33" spans="1:9" x14ac:dyDescent="0.45">
      <c r="A33" s="1"/>
      <c r="B33" s="112" t="s">
        <v>235</v>
      </c>
      <c r="C33" s="115"/>
      <c r="D33" s="115"/>
      <c r="E33" s="115"/>
      <c r="F33" s="116"/>
      <c r="G33" s="24">
        <f>G26*(1-'Fane 14. Nøgletal'!C29)*(1+'Fane 14. Nøgletal'!C11)</f>
        <v>-196025.54329619653</v>
      </c>
      <c r="H33" s="14" t="s">
        <v>3</v>
      </c>
      <c r="I33" s="1"/>
    </row>
    <row r="34" spans="1:9" x14ac:dyDescent="0.45">
      <c r="A34" s="1"/>
      <c r="B34" s="112" t="s">
        <v>130</v>
      </c>
      <c r="C34" s="115"/>
      <c r="D34" s="115"/>
      <c r="E34" s="115"/>
      <c r="F34" s="116"/>
      <c r="G34" s="9">
        <f>G27*(1-'Fane 14. Nøgletal'!C29)*(1+'Fane 14. Nøgletal'!C12)</f>
        <v>0</v>
      </c>
      <c r="H34" s="14" t="s">
        <v>3</v>
      </c>
      <c r="I34" s="1"/>
    </row>
    <row r="35" spans="1:9" x14ac:dyDescent="0.45">
      <c r="A35" s="1"/>
      <c r="B35" s="109" t="s">
        <v>159</v>
      </c>
      <c r="C35" s="110"/>
      <c r="D35" s="110"/>
      <c r="E35" s="110"/>
      <c r="F35" s="111"/>
      <c r="G35" s="9">
        <v>0</v>
      </c>
      <c r="H35" s="14" t="s">
        <v>3</v>
      </c>
      <c r="I35" s="1"/>
    </row>
    <row r="36" spans="1:9" x14ac:dyDescent="0.45">
      <c r="A36" s="1"/>
      <c r="B36" s="109" t="s">
        <v>58</v>
      </c>
      <c r="C36" s="110"/>
      <c r="D36" s="110"/>
      <c r="E36" s="110"/>
      <c r="F36" s="111"/>
      <c r="G36" s="24">
        <f>SUM(G32,G35)*'Fane 14. Nøgletal'!C29</f>
        <v>832223.46272426366</v>
      </c>
      <c r="H36" s="14" t="s">
        <v>3</v>
      </c>
      <c r="I36" s="1"/>
    </row>
    <row r="37" spans="1:9" x14ac:dyDescent="0.4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06" t="s">
        <v>191</v>
      </c>
      <c r="C39" s="107"/>
      <c r="D39" s="107"/>
      <c r="E39" s="107"/>
      <c r="F39" s="107"/>
      <c r="G39" s="107"/>
      <c r="H39" s="108"/>
      <c r="I39" s="1"/>
    </row>
    <row r="40" spans="1:9" x14ac:dyDescent="0.45">
      <c r="A40" s="1"/>
      <c r="B40" s="109" t="s">
        <v>245</v>
      </c>
      <c r="C40" s="110"/>
      <c r="D40" s="110"/>
      <c r="E40" s="110"/>
      <c r="F40" s="111"/>
      <c r="G40" s="24">
        <f>(SUM(G32,G35)-G36)*(1+'Fane 14. Nøgletal'!C14)</f>
        <v>40913520.207411438</v>
      </c>
      <c r="H40" s="14" t="s">
        <v>3</v>
      </c>
      <c r="I40" s="1"/>
    </row>
    <row r="41" spans="1:9" x14ac:dyDescent="0.45">
      <c r="A41" s="1"/>
      <c r="B41" s="109" t="s">
        <v>244</v>
      </c>
      <c r="C41" s="110"/>
      <c r="D41" s="110"/>
      <c r="E41" s="110"/>
      <c r="F41" s="111"/>
      <c r="G41" s="24">
        <f>(SUM('Fane 2.1. Økonomisk ramme 2022'!C10,'Fane 2.1. Økonomisk ramme 2022'!C12,'Fane 2.1. Økonomisk ramme 2022'!C14)*(1+'Fane 14. Nøgletal'!C14))</f>
        <v>1419125.0657764503</v>
      </c>
      <c r="H41" s="14" t="s">
        <v>3</v>
      </c>
      <c r="I41" s="1"/>
    </row>
    <row r="42" spans="1:9" x14ac:dyDescent="0.45">
      <c r="A42" s="1"/>
      <c r="B42" s="109" t="s">
        <v>243</v>
      </c>
      <c r="C42" s="110"/>
      <c r="D42" s="110"/>
      <c r="E42" s="110"/>
      <c r="F42" s="111"/>
      <c r="G42" s="24">
        <f>(G40+G41)*'Fane 14. Nøgletal'!C29</f>
        <v>846652.90546375781</v>
      </c>
      <c r="H42" s="14" t="s">
        <v>3</v>
      </c>
      <c r="I42" s="1"/>
    </row>
    <row r="43" spans="1:9" x14ac:dyDescent="0.4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06" t="s">
        <v>223</v>
      </c>
      <c r="C45" s="107"/>
      <c r="D45" s="107"/>
      <c r="E45" s="107"/>
      <c r="F45" s="107"/>
      <c r="G45" s="107"/>
      <c r="H45" s="108"/>
      <c r="I45" s="1"/>
    </row>
    <row r="46" spans="1:9" x14ac:dyDescent="0.45">
      <c r="A46" s="1"/>
      <c r="B46" s="109" t="s">
        <v>256</v>
      </c>
      <c r="C46" s="110"/>
      <c r="D46" s="110"/>
      <c r="E46" s="110"/>
      <c r="F46" s="111"/>
      <c r="G46" s="24">
        <f>(G40+G41-G42)*(1+'Fane 14. Nøgletal'!C14)</f>
        <v>41622896.142537631</v>
      </c>
      <c r="H46" s="14" t="s">
        <v>3</v>
      </c>
      <c r="I46" s="1"/>
    </row>
    <row r="47" spans="1:9" x14ac:dyDescent="0.45">
      <c r="A47" s="1"/>
      <c r="B47" s="112" t="s">
        <v>258</v>
      </c>
      <c r="C47" s="115"/>
      <c r="D47" s="115"/>
      <c r="E47" s="115"/>
      <c r="F47" s="116"/>
      <c r="G47" s="24">
        <f>G41*(1+'Fane 14. Nøgletal'!C14)</f>
        <v>1423808.1784935128</v>
      </c>
      <c r="H47" s="14" t="s">
        <v>3</v>
      </c>
      <c r="I47" s="1"/>
    </row>
    <row r="48" spans="1:9" x14ac:dyDescent="0.45">
      <c r="A48" s="1"/>
      <c r="B48" s="109" t="s">
        <v>81</v>
      </c>
      <c r="C48" s="110"/>
      <c r="D48" s="110"/>
      <c r="E48" s="110"/>
      <c r="F48" s="111"/>
      <c r="G48" s="9">
        <f>-'Fane 13. Bortfald'!C18*(1+'Fane 14. Nøgletal'!C14)</f>
        <v>0</v>
      </c>
      <c r="H48" s="14" t="s">
        <v>3</v>
      </c>
      <c r="I48" s="1"/>
    </row>
    <row r="49" spans="1:9" x14ac:dyDescent="0.45">
      <c r="A49" s="1"/>
      <c r="B49" s="109" t="s">
        <v>257</v>
      </c>
      <c r="C49" s="110"/>
      <c r="D49" s="110"/>
      <c r="E49" s="110"/>
      <c r="F49" s="111"/>
      <c r="G49" s="24">
        <f>(G46+G48)*'Fane 14. Nøgletal'!C29</f>
        <v>832457.9228507526</v>
      </c>
      <c r="H49" s="14" t="s">
        <v>3</v>
      </c>
      <c r="I49" s="1"/>
    </row>
    <row r="50" spans="1:9" x14ac:dyDescent="0.4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4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4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45">
      <c r="A53" s="1"/>
      <c r="B53" s="106" t="s">
        <v>160</v>
      </c>
      <c r="C53" s="107"/>
      <c r="D53" s="107"/>
      <c r="E53" s="107"/>
      <c r="F53" s="107"/>
      <c r="G53" s="107"/>
      <c r="H53" s="108"/>
      <c r="I53" s="1"/>
    </row>
    <row r="54" spans="1:9" x14ac:dyDescent="0.45">
      <c r="A54" s="1"/>
      <c r="B54" s="109" t="s">
        <v>161</v>
      </c>
      <c r="C54" s="110"/>
      <c r="D54" s="110"/>
      <c r="E54" s="110"/>
      <c r="F54" s="111"/>
      <c r="G54" s="24">
        <f>(G46+G48-G49)*(1+'Fane 14. Nøgletal'!C14)</f>
        <v>40925046.665811852</v>
      </c>
      <c r="H54" s="14" t="s">
        <v>3</v>
      </c>
      <c r="I54" s="1"/>
    </row>
    <row r="55" spans="1:9" x14ac:dyDescent="0.45">
      <c r="A55" s="1"/>
      <c r="B55" s="109" t="s">
        <v>162</v>
      </c>
      <c r="C55" s="110"/>
      <c r="D55" s="110"/>
      <c r="E55" s="110"/>
      <c r="F55" s="111"/>
      <c r="G55" s="9">
        <f>-'Fane 13. Bortfald'!C24*(1+'Fane 14. Nøgletal'!C14)</f>
        <v>0</v>
      </c>
      <c r="H55" s="14" t="s">
        <v>3</v>
      </c>
      <c r="I55" s="1"/>
    </row>
    <row r="56" spans="1:9" x14ac:dyDescent="0.45">
      <c r="A56" s="1"/>
      <c r="B56" s="109" t="s">
        <v>163</v>
      </c>
      <c r="C56" s="110"/>
      <c r="D56" s="110"/>
      <c r="E56" s="110"/>
      <c r="F56" s="111"/>
      <c r="G56" s="24">
        <f>(G54+G55)*'Fane 14. Nøgletal'!C29</f>
        <v>818500.93331623706</v>
      </c>
      <c r="H56" s="14" t="s">
        <v>3</v>
      </c>
      <c r="I56" s="1"/>
    </row>
    <row r="57" spans="1:9" x14ac:dyDescent="0.4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106" t="s">
        <v>224</v>
      </c>
      <c r="C59" s="107"/>
      <c r="D59" s="107"/>
      <c r="E59" s="107"/>
      <c r="F59" s="107"/>
      <c r="G59" s="107"/>
      <c r="H59" s="108"/>
      <c r="I59" s="1"/>
    </row>
    <row r="60" spans="1:9" x14ac:dyDescent="0.45">
      <c r="A60" s="1"/>
      <c r="B60" s="54" t="s">
        <v>236</v>
      </c>
      <c r="C60" s="55"/>
      <c r="D60" s="55"/>
      <c r="E60" s="55"/>
      <c r="F60" s="56"/>
      <c r="G60" s="24">
        <f>(G54+G55-G56)*(1+'Fane 14. Nøgletal'!C14)</f>
        <v>40238897.333412856</v>
      </c>
      <c r="H60" s="14" t="s">
        <v>3</v>
      </c>
      <c r="I60" s="1"/>
    </row>
    <row r="61" spans="1:9" x14ac:dyDescent="0.45">
      <c r="A61" s="1"/>
      <c r="B61" s="54" t="s">
        <v>237</v>
      </c>
      <c r="C61" s="55"/>
      <c r="D61" s="55"/>
      <c r="E61" s="55"/>
      <c r="F61" s="56"/>
      <c r="G61" s="9">
        <f>-'Fane 13. Bortfald'!C30*(1+'Fane 14. Nøgletal'!C14)</f>
        <v>0</v>
      </c>
      <c r="H61" s="14" t="s">
        <v>3</v>
      </c>
      <c r="I61" s="1"/>
    </row>
    <row r="62" spans="1:9" x14ac:dyDescent="0.45">
      <c r="A62" s="1"/>
      <c r="B62" s="54" t="s">
        <v>238</v>
      </c>
      <c r="C62" s="55"/>
      <c r="D62" s="55"/>
      <c r="E62" s="55"/>
      <c r="F62" s="56"/>
      <c r="G62" s="24">
        <f>(G60+G61)*'Fane 14. Nøgletal'!C29</f>
        <v>804777.94666825712</v>
      </c>
      <c r="H62" s="14" t="s">
        <v>3</v>
      </c>
      <c r="I62" s="1"/>
    </row>
    <row r="63" spans="1:9" x14ac:dyDescent="0.4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u6XZuDsAn0jcYeX59QAIodORLcD08ZmnDy4OoduDoRGXA9h1yOQ/PQ1nyH3qyEWn1CfPjuojtxtYtU/vSlL0Bw==" saltValue="ophRypRFVuZknpvUoycS4Q==" spinCount="100000" sheet="1" objects="1" scenarios="1"/>
  <mergeCells count="40">
    <mergeCell ref="B59:H59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56:F56"/>
    <mergeCell ref="B49:F49"/>
    <mergeCell ref="B48:F48"/>
    <mergeCell ref="B47:F47"/>
    <mergeCell ref="B41:F41"/>
    <mergeCell ref="B1:H3"/>
    <mergeCell ref="B4:H4"/>
    <mergeCell ref="B5:F5"/>
    <mergeCell ref="B7:F7"/>
    <mergeCell ref="B11:F11"/>
    <mergeCell ref="B10:H10"/>
    <mergeCell ref="B6:F6"/>
    <mergeCell ref="B53:H53"/>
    <mergeCell ref="B54:F54"/>
    <mergeCell ref="B55:F55"/>
    <mergeCell ref="B12:F12"/>
    <mergeCell ref="B28:F28"/>
    <mergeCell ref="B36:F36"/>
    <mergeCell ref="B45:H45"/>
    <mergeCell ref="B46:F46"/>
    <mergeCell ref="B39:H39"/>
    <mergeCell ref="B42:F42"/>
    <mergeCell ref="B40:F40"/>
    <mergeCell ref="B13:F13"/>
    <mergeCell ref="B35:F35"/>
    <mergeCell ref="B26:F26"/>
    <mergeCell ref="B33:F33"/>
    <mergeCell ref="B34:F3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9.597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118" t="s">
        <v>120</v>
      </c>
      <c r="C1" s="118"/>
      <c r="D1" s="118"/>
      <c r="E1" s="118"/>
      <c r="F1" s="118"/>
      <c r="G1" s="118"/>
      <c r="H1" s="118"/>
      <c r="I1" s="1"/>
    </row>
    <row r="2" spans="1:9" ht="28.5" customHeight="1" x14ac:dyDescent="0.45">
      <c r="A2" s="1"/>
      <c r="B2" s="118"/>
      <c r="C2" s="118"/>
      <c r="D2" s="118"/>
      <c r="E2" s="118"/>
      <c r="F2" s="118"/>
      <c r="G2" s="118"/>
      <c r="H2" s="118"/>
      <c r="I2" s="1"/>
    </row>
    <row r="3" spans="1:9" x14ac:dyDescent="0.45">
      <c r="A3" s="1"/>
      <c r="B3" s="106" t="s">
        <v>246</v>
      </c>
      <c r="C3" s="107"/>
      <c r="D3" s="107"/>
      <c r="E3" s="107"/>
      <c r="F3" s="107"/>
      <c r="G3" s="107"/>
      <c r="H3" s="108"/>
      <c r="I3" s="1"/>
    </row>
    <row r="4" spans="1:9" x14ac:dyDescent="0.45">
      <c r="A4" s="1"/>
      <c r="B4" s="109" t="s">
        <v>247</v>
      </c>
      <c r="C4" s="110"/>
      <c r="D4" s="110"/>
      <c r="E4" s="110"/>
      <c r="F4" s="111"/>
      <c r="G4" s="24">
        <v>79341482.939911634</v>
      </c>
      <c r="H4" s="14" t="s">
        <v>3</v>
      </c>
      <c r="I4" s="1"/>
    </row>
    <row r="5" spans="1:9" x14ac:dyDescent="0.45">
      <c r="A5" s="1"/>
      <c r="B5" s="109" t="s">
        <v>239</v>
      </c>
      <c r="C5" s="110"/>
      <c r="D5" s="110"/>
      <c r="E5" s="110"/>
      <c r="F5" s="111"/>
      <c r="G5" s="24">
        <f>G4*'Fane 14. Nøgletal'!C19</f>
        <v>722007.4947531959</v>
      </c>
      <c r="H5" s="14" t="s">
        <v>3</v>
      </c>
      <c r="I5" s="1"/>
    </row>
    <row r="6" spans="1:9" x14ac:dyDescent="0.45">
      <c r="A6" s="1"/>
      <c r="B6" s="35"/>
      <c r="C6" s="36"/>
      <c r="D6" s="36"/>
      <c r="E6" s="36"/>
      <c r="F6" s="36"/>
      <c r="G6" s="36"/>
      <c r="H6" s="20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6" t="s">
        <v>59</v>
      </c>
      <c r="C8" s="107"/>
      <c r="D8" s="107"/>
      <c r="E8" s="107"/>
      <c r="F8" s="107"/>
      <c r="G8" s="107"/>
      <c r="H8" s="108"/>
      <c r="I8" s="1"/>
    </row>
    <row r="9" spans="1:9" x14ac:dyDescent="0.45">
      <c r="A9" s="1"/>
      <c r="B9" s="109" t="s">
        <v>248</v>
      </c>
      <c r="C9" s="110"/>
      <c r="D9" s="110"/>
      <c r="E9" s="110"/>
      <c r="F9" s="111"/>
      <c r="G9" s="24">
        <f>(G4-G5)*(1+'Fane 14. Nøgletal'!C10)</f>
        <v>79995316.265448719</v>
      </c>
      <c r="H9" s="14" t="s">
        <v>3</v>
      </c>
      <c r="I9" s="1"/>
    </row>
    <row r="10" spans="1:9" x14ac:dyDescent="0.45">
      <c r="A10" s="1"/>
      <c r="B10" s="109" t="s">
        <v>134</v>
      </c>
      <c r="C10" s="110"/>
      <c r="D10" s="110"/>
      <c r="E10" s="110"/>
      <c r="F10" s="111"/>
      <c r="G10" s="24">
        <v>233427.31891325233</v>
      </c>
      <c r="H10" s="14" t="s">
        <v>3</v>
      </c>
      <c r="I10" s="1"/>
    </row>
    <row r="11" spans="1:9" x14ac:dyDescent="0.45">
      <c r="A11" s="1"/>
      <c r="B11" s="117" t="s">
        <v>249</v>
      </c>
      <c r="C11" s="115"/>
      <c r="D11" s="115"/>
      <c r="E11" s="115"/>
      <c r="F11" s="116"/>
      <c r="G11" s="24">
        <v>19766.066925000003</v>
      </c>
      <c r="H11" s="14" t="s">
        <v>3</v>
      </c>
      <c r="I11" s="1"/>
    </row>
    <row r="12" spans="1:9" x14ac:dyDescent="0.45">
      <c r="A12" s="1"/>
      <c r="B12" s="109" t="s">
        <v>60</v>
      </c>
      <c r="C12" s="110"/>
      <c r="D12" s="110"/>
      <c r="E12" s="110"/>
      <c r="F12" s="111"/>
      <c r="G12" s="24">
        <f>SUM(G9:G11)*'Fane 14. Nøgletal'!C20</f>
        <v>1420398.6208277794</v>
      </c>
      <c r="H12" s="14" t="s">
        <v>3</v>
      </c>
      <c r="I12" s="1"/>
    </row>
    <row r="13" spans="1:9" x14ac:dyDescent="0.45">
      <c r="A13" s="1"/>
      <c r="B13" s="35"/>
      <c r="C13" s="36"/>
      <c r="D13" s="36"/>
      <c r="E13" s="36"/>
      <c r="F13" s="36"/>
      <c r="G13" s="3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06" t="s">
        <v>61</v>
      </c>
      <c r="C15" s="107"/>
      <c r="D15" s="107"/>
      <c r="E15" s="107"/>
      <c r="F15" s="107"/>
      <c r="G15" s="107"/>
      <c r="H15" s="108"/>
      <c r="I15" s="1"/>
    </row>
    <row r="16" spans="1:9" x14ac:dyDescent="0.45">
      <c r="A16" s="1"/>
      <c r="B16" s="109" t="s">
        <v>62</v>
      </c>
      <c r="C16" s="110"/>
      <c r="D16" s="110"/>
      <c r="E16" s="110"/>
      <c r="F16" s="111"/>
      <c r="G16" s="24">
        <f>(G9+G10+G11-G12)*(1+'Fane 14. Nøgletal'!C10)</f>
        <v>80207602.973492235</v>
      </c>
      <c r="H16" s="14" t="s">
        <v>3</v>
      </c>
      <c r="I16" s="1"/>
    </row>
    <row r="17" spans="1:9" x14ac:dyDescent="0.45">
      <c r="A17" s="1"/>
      <c r="B17" s="117" t="s">
        <v>63</v>
      </c>
      <c r="C17" s="115"/>
      <c r="D17" s="115"/>
      <c r="E17" s="115"/>
      <c r="F17" s="116"/>
      <c r="G17" s="24">
        <v>244981.08552265994</v>
      </c>
      <c r="H17" s="14" t="s">
        <v>3</v>
      </c>
      <c r="I17" s="1"/>
    </row>
    <row r="18" spans="1:9" x14ac:dyDescent="0.45">
      <c r="A18" s="1"/>
      <c r="B18" s="109" t="s">
        <v>64</v>
      </c>
      <c r="C18" s="110"/>
      <c r="D18" s="110"/>
      <c r="E18" s="110"/>
      <c r="F18" s="111"/>
      <c r="G18" s="24">
        <f>G16*'Fane 14. Nøgletal'!C20+G17*'Fane 14. Nøgletal'!C21</f>
        <v>1421805.9080748598</v>
      </c>
      <c r="H18" s="14" t="s">
        <v>3</v>
      </c>
      <c r="I18" s="1"/>
    </row>
    <row r="19" spans="1:9" x14ac:dyDescent="0.45">
      <c r="A19" s="1"/>
      <c r="B19" s="35"/>
      <c r="C19" s="36"/>
      <c r="D19" s="36"/>
      <c r="E19" s="36"/>
      <c r="F19" s="36"/>
      <c r="G19" s="36"/>
      <c r="H19" s="20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06" t="s">
        <v>222</v>
      </c>
      <c r="C21" s="107"/>
      <c r="D21" s="107"/>
      <c r="E21" s="107"/>
      <c r="F21" s="107"/>
      <c r="G21" s="107"/>
      <c r="H21" s="108"/>
      <c r="I21" s="1"/>
    </row>
    <row r="22" spans="1:9" x14ac:dyDescent="0.45">
      <c r="A22" s="1"/>
      <c r="B22" s="109" t="s">
        <v>65</v>
      </c>
      <c r="C22" s="110"/>
      <c r="D22" s="110"/>
      <c r="E22" s="110"/>
      <c r="F22" s="111"/>
      <c r="G22" s="24">
        <f>G16*(1-'Fane 14. Nøgletal'!C20)*(1+'Fane 14. Nøgletal'!C10)+G17*(1-'Fane 14. Nøgletal'!C21)*(1+'Fane 14. Nøgletal'!C11)</f>
        <v>80413671.058731422</v>
      </c>
      <c r="H22" s="14" t="s">
        <v>3</v>
      </c>
      <c r="I22" s="1"/>
    </row>
    <row r="23" spans="1:9" x14ac:dyDescent="0.45">
      <c r="A23" s="1"/>
      <c r="B23" s="112" t="s">
        <v>250</v>
      </c>
      <c r="C23" s="115"/>
      <c r="D23" s="115"/>
      <c r="E23" s="115"/>
      <c r="F23" s="116"/>
      <c r="G23" s="24">
        <f>G17*(1-'Fane 14. Nøgletal'!C21)*(1+'Fane 14. Nøgletal'!C11)</f>
        <v>246953.91085494132</v>
      </c>
      <c r="H23" s="14" t="s">
        <v>3</v>
      </c>
      <c r="I23" s="1"/>
    </row>
    <row r="24" spans="1:9" x14ac:dyDescent="0.45">
      <c r="A24" s="1"/>
      <c r="B24" s="117" t="s">
        <v>66</v>
      </c>
      <c r="C24" s="115"/>
      <c r="D24" s="115"/>
      <c r="E24" s="115"/>
      <c r="F24" s="116"/>
      <c r="G24" s="24">
        <v>713288.41749139677</v>
      </c>
      <c r="H24" s="14" t="s">
        <v>3</v>
      </c>
      <c r="I24" s="1"/>
    </row>
    <row r="25" spans="1:9" x14ac:dyDescent="0.45">
      <c r="A25" s="1"/>
      <c r="B25" s="109" t="s">
        <v>67</v>
      </c>
      <c r="C25" s="110"/>
      <c r="D25" s="110"/>
      <c r="E25" s="110"/>
      <c r="F25" s="111"/>
      <c r="G25" s="24">
        <f>(G22-G23)*'Fane 14. Nøgletal'!C21+G23*'Fane 14. Nøgletal'!C22+G24*'Fane 14. Nøgletal'!C23</f>
        <v>724079.36173581914</v>
      </c>
      <c r="H25" s="14" t="s">
        <v>3</v>
      </c>
      <c r="I25" s="1"/>
    </row>
    <row r="26" spans="1:9" x14ac:dyDescent="0.45">
      <c r="A26" s="1"/>
      <c r="B26" s="35"/>
      <c r="C26" s="36"/>
      <c r="D26" s="36"/>
      <c r="E26" s="36"/>
      <c r="F26" s="36"/>
      <c r="G26" s="3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06" t="s">
        <v>68</v>
      </c>
      <c r="C28" s="107"/>
      <c r="D28" s="107"/>
      <c r="E28" s="107"/>
      <c r="F28" s="107"/>
      <c r="G28" s="107"/>
      <c r="H28" s="108"/>
      <c r="I28" s="1"/>
    </row>
    <row r="29" spans="1:9" x14ac:dyDescent="0.45">
      <c r="A29" s="1"/>
      <c r="B29" s="109" t="s">
        <v>69</v>
      </c>
      <c r="C29" s="110"/>
      <c r="D29" s="110"/>
      <c r="E29" s="110"/>
      <c r="F29" s="111"/>
      <c r="G29" s="24">
        <f>(G22-G23)*(1-'Fane 14. Nøgletal'!C20)*(1+'Fane 14. Nøgletal'!C10)+G23*(1-'Fane 14. Nøgletal'!C21)*(1+'Fane 14. Nøgletal'!C11)+G24*(1-'Fane 14. Nøgletal'!C22)*(1+'Fane 14. Nøgletal'!C12)</f>
        <v>81081478.524756193</v>
      </c>
      <c r="H29" s="14" t="s">
        <v>3</v>
      </c>
      <c r="I29" s="1"/>
    </row>
    <row r="30" spans="1:9" x14ac:dyDescent="0.45">
      <c r="A30" s="1"/>
      <c r="B30" s="112" t="s">
        <v>251</v>
      </c>
      <c r="C30" s="115"/>
      <c r="D30" s="115"/>
      <c r="E30" s="115"/>
      <c r="F30" s="116"/>
      <c r="G30" s="24">
        <f>G23*(1-'Fane 14. Nøgletal'!C21)*(1+'Fane 14. Nøgletal'!C11)</f>
        <v>248942.62329043882</v>
      </c>
      <c r="H30" s="14" t="s">
        <v>3</v>
      </c>
      <c r="I30" s="1"/>
    </row>
    <row r="31" spans="1:9" x14ac:dyDescent="0.45">
      <c r="A31" s="1"/>
      <c r="B31" s="112" t="s">
        <v>129</v>
      </c>
      <c r="C31" s="115"/>
      <c r="D31" s="115"/>
      <c r="E31" s="115"/>
      <c r="F31" s="116"/>
      <c r="G31" s="24">
        <f>G24*(1-'Fane 14. Nøgletal'!C22)*(1+'Fane 14. Nøgletal'!C12)</f>
        <v>706683.73765540356</v>
      </c>
      <c r="H31" s="14" t="s">
        <v>3</v>
      </c>
      <c r="I31" s="1"/>
    </row>
    <row r="32" spans="1:9" x14ac:dyDescent="0.45">
      <c r="A32" s="1"/>
      <c r="B32" s="109" t="s">
        <v>164</v>
      </c>
      <c r="C32" s="110"/>
      <c r="D32" s="110"/>
      <c r="E32" s="110"/>
      <c r="F32" s="111"/>
      <c r="G32" s="24">
        <v>720561.10097664001</v>
      </c>
      <c r="H32" s="14" t="s">
        <v>3</v>
      </c>
      <c r="I32" s="1"/>
    </row>
    <row r="33" spans="1:9" x14ac:dyDescent="0.45">
      <c r="A33" s="1"/>
      <c r="B33" s="109" t="s">
        <v>70</v>
      </c>
      <c r="C33" s="110"/>
      <c r="D33" s="110"/>
      <c r="E33" s="110"/>
      <c r="F33" s="111"/>
      <c r="G33" s="24">
        <f>(G29-SUM(G30:G31))*'Fane 14. Nøgletal'!C20+G30*'Fane 14. Nøgletal'!C21+G31*'Fane 14. Nøgletal'!C22+G32*'Fane 14. Nøgletal'!C23</f>
        <v>1460278.6325483413</v>
      </c>
      <c r="H33" s="14" t="s">
        <v>3</v>
      </c>
      <c r="I33" s="1"/>
    </row>
    <row r="34" spans="1:9" x14ac:dyDescent="0.45">
      <c r="A34" s="1"/>
      <c r="B34" s="35"/>
      <c r="C34" s="36"/>
      <c r="D34" s="36"/>
      <c r="E34" s="36"/>
      <c r="F34" s="36"/>
      <c r="G34" s="36"/>
      <c r="H34" s="20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06" t="s">
        <v>192</v>
      </c>
      <c r="C36" s="107"/>
      <c r="D36" s="107"/>
      <c r="E36" s="107"/>
      <c r="F36" s="107"/>
      <c r="G36" s="107"/>
      <c r="H36" s="108"/>
      <c r="I36" s="1"/>
    </row>
    <row r="37" spans="1:9" x14ac:dyDescent="0.45">
      <c r="A37" s="1"/>
      <c r="B37" s="109" t="s">
        <v>252</v>
      </c>
      <c r="C37" s="110"/>
      <c r="D37" s="110"/>
      <c r="E37" s="110"/>
      <c r="F37" s="111"/>
      <c r="G37" s="24">
        <f>(SUM(G29,G32)-G33)*(1+'Fane 14. Nøgletal'!C14)</f>
        <v>80606888.804462001</v>
      </c>
      <c r="H37" s="14" t="s">
        <v>3</v>
      </c>
      <c r="I37" s="1"/>
    </row>
    <row r="38" spans="1:9" x14ac:dyDescent="0.45">
      <c r="A38" s="1"/>
      <c r="B38" s="109" t="s">
        <v>193</v>
      </c>
      <c r="C38" s="110"/>
      <c r="D38" s="110"/>
      <c r="E38" s="110"/>
      <c r="F38" s="111"/>
      <c r="G38" s="24">
        <f>SUM('Fane 2.1. Økonomisk ramme 2022'!C11,'Fane 2.1. Økonomisk ramme 2022'!C13,'Fane 2.1. Økonomisk ramme 2022'!C15)*(1+'Fane 14. Nøgletal'!C14)</f>
        <v>377739.79597051005</v>
      </c>
      <c r="H38" s="14" t="s">
        <v>3</v>
      </c>
      <c r="I38" s="1"/>
    </row>
    <row r="39" spans="1:9" x14ac:dyDescent="0.45">
      <c r="A39" s="1"/>
      <c r="B39" s="109" t="s">
        <v>194</v>
      </c>
      <c r="C39" s="110"/>
      <c r="D39" s="110"/>
      <c r="E39" s="110"/>
      <c r="F39" s="111"/>
      <c r="G39" s="24">
        <f>(G37+G38)*'Fane 14. Nøgletal'!C24</f>
        <v>1198572.5032864013</v>
      </c>
      <c r="H39" s="14" t="s">
        <v>3</v>
      </c>
      <c r="I39" s="1"/>
    </row>
    <row r="40" spans="1:9" x14ac:dyDescent="0.45">
      <c r="A40" s="1"/>
      <c r="B40" s="35"/>
      <c r="C40" s="36"/>
      <c r="D40" s="36"/>
      <c r="E40" s="36"/>
      <c r="F40" s="36"/>
      <c r="G40" s="36"/>
      <c r="H40" s="20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06" t="s">
        <v>253</v>
      </c>
      <c r="C42" s="107"/>
      <c r="D42" s="107"/>
      <c r="E42" s="107"/>
      <c r="F42" s="107"/>
      <c r="G42" s="107"/>
      <c r="H42" s="108"/>
      <c r="I42" s="1"/>
    </row>
    <row r="43" spans="1:9" x14ac:dyDescent="0.45">
      <c r="A43" s="1"/>
      <c r="B43" s="109" t="s">
        <v>71</v>
      </c>
      <c r="C43" s="110"/>
      <c r="D43" s="110"/>
      <c r="E43" s="110"/>
      <c r="F43" s="111"/>
      <c r="G43" s="24">
        <f>(G37+G38-G39)*(1+'Fane 14. Nøgletal'!C14)</f>
        <v>80049350.082266703</v>
      </c>
      <c r="H43" s="14" t="s">
        <v>3</v>
      </c>
      <c r="I43" s="1"/>
    </row>
    <row r="44" spans="1:9" x14ac:dyDescent="0.45">
      <c r="A44" s="1"/>
      <c r="B44" s="112" t="s">
        <v>260</v>
      </c>
      <c r="C44" s="115"/>
      <c r="D44" s="115"/>
      <c r="E44" s="115"/>
      <c r="F44" s="116"/>
      <c r="G44" s="24">
        <f>G38*(1+'Fane 14. Nøgletal'!C14)</f>
        <v>378986.33729721274</v>
      </c>
      <c r="H44" s="14" t="s">
        <v>3</v>
      </c>
      <c r="I44" s="1"/>
    </row>
    <row r="45" spans="1:9" x14ac:dyDescent="0.45">
      <c r="A45" s="1"/>
      <c r="B45" s="109" t="s">
        <v>85</v>
      </c>
      <c r="C45" s="110"/>
      <c r="D45" s="110"/>
      <c r="E45" s="110"/>
      <c r="F45" s="111"/>
      <c r="G45" s="9">
        <f>-'Fane 13. Bortfald'!E18*(1+'Fane 14. Nøgletal'!C14)</f>
        <v>0</v>
      </c>
      <c r="H45" s="14" t="s">
        <v>3</v>
      </c>
      <c r="I45" s="1"/>
    </row>
    <row r="46" spans="1:9" x14ac:dyDescent="0.45">
      <c r="A46" s="1"/>
      <c r="B46" s="109" t="s">
        <v>259</v>
      </c>
      <c r="C46" s="110"/>
      <c r="D46" s="110"/>
      <c r="E46" s="110"/>
      <c r="F46" s="111"/>
      <c r="G46" s="24">
        <f>(G43+G45)*'Fane 14. Nøgletal'!C24</f>
        <v>1184730.3812175472</v>
      </c>
      <c r="H46" s="14" t="s">
        <v>3</v>
      </c>
      <c r="I46" s="1"/>
    </row>
    <row r="47" spans="1:9" x14ac:dyDescent="0.45">
      <c r="A47" s="1"/>
      <c r="B47" s="35"/>
      <c r="C47" s="36"/>
      <c r="D47" s="36"/>
      <c r="E47" s="36"/>
      <c r="F47" s="36"/>
      <c r="G47" s="36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06" t="s">
        <v>165</v>
      </c>
      <c r="C49" s="107"/>
      <c r="D49" s="107"/>
      <c r="E49" s="107"/>
      <c r="F49" s="107"/>
      <c r="G49" s="107"/>
      <c r="H49" s="108"/>
      <c r="I49" s="1"/>
    </row>
    <row r="50" spans="1:9" x14ac:dyDescent="0.45">
      <c r="A50" s="1"/>
      <c r="B50" s="109" t="s">
        <v>166</v>
      </c>
      <c r="C50" s="110"/>
      <c r="D50" s="110"/>
      <c r="E50" s="110"/>
      <c r="F50" s="111"/>
      <c r="G50" s="24">
        <f>(G43+G45-G46)*(1+'Fane 14. Nøgletal'!C14)</f>
        <v>79124872.946062624</v>
      </c>
      <c r="H50" s="14" t="s">
        <v>3</v>
      </c>
      <c r="I50" s="1"/>
    </row>
    <row r="51" spans="1:9" x14ac:dyDescent="0.45">
      <c r="A51" s="1"/>
      <c r="B51" s="109" t="s">
        <v>167</v>
      </c>
      <c r="C51" s="110"/>
      <c r="D51" s="110"/>
      <c r="E51" s="110"/>
      <c r="F51" s="111"/>
      <c r="G51" s="9">
        <f>-'Fane 13. Bortfald'!E24*(1+'Fane 14. Nøgletal'!C14)</f>
        <v>0</v>
      </c>
      <c r="H51" s="14" t="s">
        <v>3</v>
      </c>
      <c r="I51" s="1"/>
    </row>
    <row r="52" spans="1:9" x14ac:dyDescent="0.45">
      <c r="A52" s="1"/>
      <c r="B52" s="109" t="s">
        <v>168</v>
      </c>
      <c r="C52" s="110"/>
      <c r="D52" s="110"/>
      <c r="E52" s="110"/>
      <c r="F52" s="111"/>
      <c r="G52" s="24">
        <f>(G50+G51)*'Fane 14. Nøgletal'!C24</f>
        <v>1171048.119601727</v>
      </c>
      <c r="H52" s="14" t="s">
        <v>3</v>
      </c>
      <c r="I52" s="1"/>
    </row>
    <row r="53" spans="1:9" x14ac:dyDescent="0.45">
      <c r="A53" s="1"/>
      <c r="B53" s="35"/>
      <c r="C53" s="36"/>
      <c r="D53" s="36"/>
      <c r="E53" s="36"/>
      <c r="F53" s="36"/>
      <c r="G53" s="36"/>
      <c r="H53" s="20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06" t="s">
        <v>225</v>
      </c>
      <c r="C55" s="107"/>
      <c r="D55" s="107"/>
      <c r="E55" s="107"/>
      <c r="F55" s="107"/>
      <c r="G55" s="107"/>
      <c r="H55" s="108"/>
      <c r="I55" s="1"/>
    </row>
    <row r="56" spans="1:9" x14ac:dyDescent="0.45">
      <c r="A56" s="1"/>
      <c r="B56" s="109" t="s">
        <v>166</v>
      </c>
      <c r="C56" s="110"/>
      <c r="D56" s="110"/>
      <c r="E56" s="110"/>
      <c r="F56" s="111"/>
      <c r="G56" s="24">
        <f>(G50+G51-G52)*(1+'Fane 14. Nøgletal'!C14)</f>
        <v>78211072.448388219</v>
      </c>
      <c r="H56" s="14" t="s">
        <v>3</v>
      </c>
      <c r="I56" s="1"/>
    </row>
    <row r="57" spans="1:9" x14ac:dyDescent="0.45">
      <c r="A57" s="1"/>
      <c r="B57" s="109" t="s">
        <v>254</v>
      </c>
      <c r="C57" s="110"/>
      <c r="D57" s="110"/>
      <c r="E57" s="110"/>
      <c r="F57" s="111"/>
      <c r="G57" s="9">
        <f>-'Fane 13. Bortfald'!E30*(1+'Fane 14. Nøgletal'!C21)</f>
        <v>0</v>
      </c>
      <c r="H57" s="14" t="s">
        <v>3</v>
      </c>
      <c r="I57" s="1"/>
    </row>
    <row r="58" spans="1:9" x14ac:dyDescent="0.45">
      <c r="A58" s="1"/>
      <c r="B58" s="109" t="s">
        <v>255</v>
      </c>
      <c r="C58" s="110"/>
      <c r="D58" s="110"/>
      <c r="E58" s="110"/>
      <c r="F58" s="111"/>
      <c r="G58" s="24">
        <f>(G56+G57)*'Fane 14. Nøgletal'!C24</f>
        <v>1157523.8722361457</v>
      </c>
      <c r="H58" s="14" t="s">
        <v>3</v>
      </c>
      <c r="I58" s="1"/>
    </row>
    <row r="59" spans="1:9" x14ac:dyDescent="0.45">
      <c r="A59" s="1"/>
      <c r="B59" s="35"/>
      <c r="C59" s="36"/>
      <c r="D59" s="36"/>
      <c r="E59" s="36"/>
      <c r="F59" s="36"/>
      <c r="G59" s="36"/>
      <c r="H59" s="20"/>
      <c r="I59" s="1"/>
    </row>
    <row r="60" spans="1:9" x14ac:dyDescent="0.45">
      <c r="A60" s="1"/>
      <c r="B60" s="1"/>
      <c r="C60" s="1"/>
      <c r="D60" s="1"/>
      <c r="E60" s="1"/>
      <c r="F60" s="1"/>
      <c r="G60" s="1"/>
      <c r="H60" s="1"/>
      <c r="I60" s="1"/>
    </row>
  </sheetData>
  <sheetProtection algorithmName="SHA-512" hashValue="gO5rKb+JmZAOSrNZp5vhIIv/5fsV+o32Xjd7ZjDAWQ2fOO+8LtwHgU/6wHJ8OKXlckd6JN3NJB4Fo+BuWGoPLQ==" saltValue="16DRwkVRtxwUBZZ1c09p1A==" spinCount="100000" sheet="1" objects="1" scenarios="1"/>
  <mergeCells count="41">
    <mergeCell ref="B1:H2"/>
    <mergeCell ref="B18:F18"/>
    <mergeCell ref="B3:H3"/>
    <mergeCell ref="B4:F4"/>
    <mergeCell ref="B5:F5"/>
    <mergeCell ref="B8:H8"/>
    <mergeCell ref="B10:F10"/>
    <mergeCell ref="B9:F9"/>
    <mergeCell ref="B11:F11"/>
    <mergeCell ref="B12:F12"/>
    <mergeCell ref="B16:F16"/>
    <mergeCell ref="B39:F39"/>
    <mergeCell ref="B42:H42"/>
    <mergeCell ref="B23:F23"/>
    <mergeCell ref="B28:H28"/>
    <mergeCell ref="B29:F29"/>
    <mergeCell ref="B33:F33"/>
    <mergeCell ref="B36:H36"/>
    <mergeCell ref="B32:F32"/>
    <mergeCell ref="B21:H21"/>
    <mergeCell ref="B15:H15"/>
    <mergeCell ref="B17:F17"/>
    <mergeCell ref="B22:F22"/>
    <mergeCell ref="B38:F38"/>
    <mergeCell ref="B30:F30"/>
    <mergeCell ref="B31:F31"/>
    <mergeCell ref="B37:F37"/>
    <mergeCell ref="B24:F24"/>
    <mergeCell ref="B25:F25"/>
    <mergeCell ref="B55:H55"/>
    <mergeCell ref="B43:F43"/>
    <mergeCell ref="B56:F56"/>
    <mergeCell ref="B57:F57"/>
    <mergeCell ref="B58:F58"/>
    <mergeCell ref="B44:F44"/>
    <mergeCell ref="B45:F45"/>
    <mergeCell ref="B51:F51"/>
    <mergeCell ref="B50:F50"/>
    <mergeCell ref="B52:F52"/>
    <mergeCell ref="B49:H49"/>
    <mergeCell ref="B46:F4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2" t="s">
        <v>80</v>
      </c>
      <c r="C3" s="82"/>
      <c r="D3" s="82"/>
      <c r="E3" s="82"/>
      <c r="F3" s="82"/>
      <c r="G3" s="82"/>
      <c r="H3" s="82"/>
      <c r="I3" s="1"/>
    </row>
    <row r="4" spans="1:9" ht="15" customHeight="1" x14ac:dyDescent="0.4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6" t="s">
        <v>10</v>
      </c>
      <c r="C8" s="107"/>
      <c r="D8" s="107"/>
      <c r="E8" s="107"/>
      <c r="F8" s="107"/>
      <c r="G8" s="107"/>
      <c r="H8" s="108"/>
      <c r="I8" s="1"/>
    </row>
    <row r="9" spans="1:9" x14ac:dyDescent="0.45">
      <c r="A9" s="1"/>
      <c r="B9" s="109" t="s">
        <v>261</v>
      </c>
      <c r="C9" s="110"/>
      <c r="D9" s="110"/>
      <c r="E9" s="110"/>
      <c r="F9" s="111"/>
      <c r="G9" s="23">
        <v>3.007684125891081E-3</v>
      </c>
      <c r="H9" s="14"/>
      <c r="I9" s="1"/>
    </row>
    <row r="10" spans="1:9" x14ac:dyDescent="0.45">
      <c r="A10" s="1"/>
      <c r="B10" s="109" t="s">
        <v>105</v>
      </c>
      <c r="C10" s="110"/>
      <c r="D10" s="110"/>
      <c r="E10" s="110"/>
      <c r="F10" s="111"/>
      <c r="G10" s="23">
        <v>0</v>
      </c>
      <c r="H10" s="14"/>
      <c r="I10" s="1"/>
    </row>
    <row r="11" spans="1:9" x14ac:dyDescent="0.45">
      <c r="A11" s="1"/>
      <c r="B11" s="109" t="s">
        <v>195</v>
      </c>
      <c r="C11" s="110"/>
      <c r="D11" s="110"/>
      <c r="E11" s="110"/>
      <c r="F11" s="111"/>
      <c r="G11" s="23">
        <v>0</v>
      </c>
      <c r="H11" s="14"/>
      <c r="I11" s="1"/>
    </row>
    <row r="12" spans="1:9" x14ac:dyDescent="0.4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45">
      <c r="A13" s="1"/>
      <c r="B13" s="119" t="s">
        <v>196</v>
      </c>
      <c r="C13" s="119"/>
      <c r="D13" s="119"/>
      <c r="E13" s="119"/>
      <c r="F13" s="119"/>
      <c r="G13" s="119"/>
      <c r="H13" s="119"/>
      <c r="I13" s="1"/>
    </row>
    <row r="14" spans="1:9" ht="30.75" customHeight="1" x14ac:dyDescent="0.4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YqmA6a+1pzZFmK1Vy2MMnTJqiwC73tKrBvOTUoOY+lOc/FIu52qLBAlfR6Cj+YYNRlFkDD2NqZ6AEoRz8HQb8Q==" saltValue="TSwk0h9WZgpP3IcoTkxLog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2021-09-13T00:57:39Z</dcterms:modified>
</cp:coreProperties>
</file>