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Lejre AS (S06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E11" i="37"/>
  <c r="C15"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<sst xmlns="http://schemas.openxmlformats.org/spreadsheetml/2006/main" count="612" uniqueCount="290">
  <si>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</si>
  <si>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</si>
  <si>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</si>
  <si>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</si>
  <si>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</si>
  <si>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</si>
  <si>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</si>
  <si>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</si>
  <si>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</si>
  <si>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</si>
  <si>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</si>
  <si>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</si>
  <si>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</si>
  <si>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</si>
  <si>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</si>
  <si>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</si>
  <si>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</si>
  <si>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</si>
  <si>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</si>
  <si>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</si>
  <si>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</si>
  <si>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</si>
  <si>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</si>
  <si>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</si>
  <si>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</si>
  <si>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</si>
  <si>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</si>
  <si>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</si>
  <si>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</si>
  <si>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</si>
  <si>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</si>
  <si>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</si>
  <si>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</si>
  <si>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</si>
  <si>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</si>
  <si>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</si>
  <si>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</si>
  <si>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</si>
  <si>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</si>
  <si>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</si>
  <si>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</si>
  <si>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</si>
  <si>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</si>
  <si>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</si>
  <si>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</si>
  <si>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</si>
  <si>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</si>
  <si>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</si>
  <si>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</si>
  <si>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</si>
  <si>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</si>
  <si>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</si>
  <si>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</si>
  <si>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</si>
  <si>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</si>
  <si>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</si>
  <si>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</si>
  <si>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</si>
  <si>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</si>
  <si>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</si>
  <si>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</si>
  <si>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</si>
  <si>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</si>
  <si>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</si>
  <si>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</si>
  <si>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</si>
  <si>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</si>
  <si>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</si>
  <si>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</si>
  <si>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</si>
  <si>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</si>
  <si>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</si>
  <si>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</si>
  <si>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</si>
  <si>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</si>
  <si>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</si>
  <si>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</si>
  <si>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</si>
  <si>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</si>
  <si>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</si>
  <si>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</si>
  <si>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</si>
  <si>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</si>
  <si>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</si>
  <si>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</si>
  <si>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</si>
  <si>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</si>
  <si>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</si>
  <si>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</si>
  <si>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</si>
  <si>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</si>
  <si>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</si>
  <si>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</si>
  <si>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</si>
  <si>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</si>
  <si>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</si>
  <si>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</si>
  <si>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</si>
  <si>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</si>
  <si>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</si>
  <si>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</si>
  <si>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</si>
  <si>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</si>
  <si>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</si>
  <si>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</si>
  <si>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</si>
  <si>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</si>
  <si>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</si>
  <si>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</si>
  <si>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</si>
  <si>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</si>
  <si>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</si>
  <si>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</si>
  <si>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</si>
  <si>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</si>
  <si>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</si>
  <si>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</si>
  <si>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</si>
  <si>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</si>
  <si>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</si>
  <si>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</si>
  <si>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</si>
  <si>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</si>
  <si>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</si>
  <si>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</si>
  <si>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</si>
  <si>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</si>
  <si>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</si>
  <si>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</si>
  <si>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</si>
  <si>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</si>
  <si>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</si>
  <si>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</si>
  <si>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</si>
  <si>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</si>
  <si>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</si>
  <si>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</si>
  <si>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</si>
  <si>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</si>
  <si>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</si>
  <si>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</si>
  <si>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</si>
  <si>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</si>
  <si>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</si>
  <si>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</si>
  <si>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</si>
  <si>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</si>
  <si>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</si>
  <si>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</si>
  <si>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</si>
  <si>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</si>
  <si>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</si>
  <si>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</si>
  <si>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</si>
  <si>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</si>
  <si>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</si>
  <si>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</si>
  <si>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</si>
  <si>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</si>
  <si>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</si>
  <si>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</si>
  <si>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</si>
  <si>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</si>
  <si>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</si>
  <si>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</si>
  <si>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</si>
  <si>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</si>
  <si>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</si>
  <si>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</si>
  <si>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</si>
  <si>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</si>
  <si>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</si>
  <si>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</si>
  <si>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</si>
  <si>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</si>
  <si>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</si>
  <si>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</si>
  <si>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</si>
  <si>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</si>
  <si>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</si>
  <si>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</si>
  <si>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</si>
  <si>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</si>
  <si>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</si>
  <si>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</si>
  <si>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</si>
  <si>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</si>
  <si>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</si>
  <si>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</si>
  <si>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</si>
  <si>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</si>
  <si>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</si>
  <si>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</si>
  <si>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</si>
  <si>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</si>
  <si>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</si>
  <si>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</si>
  <si>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</si>
  <si>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</si>
  <si>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</si>
  <si>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</si>
  <si>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</si>
  <si>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</si>
  <si>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</si>
  <si>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</si>
  <si>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</si>
  <si>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</si>
  <si>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</si>
  <si>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</si>
  <si>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</si>
  <si>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</si>
  <si>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</si>
  <si>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</si>
  <si>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</si>
  <si>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</si>
  <si>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</si>
  <si>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</si>
  <si>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</si>
  <si>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</si>
  <si>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</si>
  <si>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</si>
  <si>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</si>
  <si>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</si>
  <si>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</si>
  <si>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</si>
  <si>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</si>
  <si>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</si>
  <si>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</si>
  <si>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</si>
  <si>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</si>
  <si>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</si>
  <si>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</si>
  <si>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</si>
  <si>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</si>
  <si>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</si>
  <si>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</si>
  <si>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</si>
  <si>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</si>
  <si>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</si>
  <si>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</si>
  <si>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</si>
  <si>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</si>
  <si>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</si>
  <si>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</si>
  <si>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</si>
  <si>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</si>
  <si>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</si>
  <si>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</si>
  <si>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</si>
  <si>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</si>
  <si>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</si>
  <si>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</si>
  <si>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</si>
  <si>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</si>
  <si>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</si>
  <si>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</si>
  <si>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</si>
  <si>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</si>
  <si>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</si>
  <si>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</si>
  <si>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</si>
  <si>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</si>
  <si>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</si>
  <si>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</si>
  <si>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</si>
  <si>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</si>
  <si>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</si>
  <si>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</si>
  <si>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</si>
  <si>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</si>
  <si>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</si>
  <si>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</si>
  <si>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</si>
  <si>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</si>
  <si>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</si>
  <si>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</si>
  <si>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</si>
  <si>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</si>
  <si>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</si>
  <si>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</si>
  <si>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</si>
  <si>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Ø 200 mm &lt; Ledningsnet ≤ Ø 500 mm</t>
  </si>
  <si>
    <t>Indregnet fradrag i økonomisk ramme for 2022</t>
  </si>
  <si>
    <t>Indregnet fradrag i økonomisk ramme for 2023</t>
  </si>
  <si>
    <t>Korrektion af fradrag i den økonomiske ramme for 2023</t>
  </si>
  <si>
    <t>Tillæg/fradrag i den økonnomiske ramme for 2023</t>
  </si>
  <si>
    <t>Oprensning af bassiner</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</si>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</sst>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aXIss0vdzmeWOuvap8Tp9Xco3IWbjf4bFiLAm0HeNwknID4OPZ5vv1kLh6hTnIX/W+EXaadL2gdm9twk7912aw==" saltValue="G17QW187t3s+eULUmA2Bp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414437</v>
      </c>
      <c r="D10" s="14" t="s">
        <v>3</v>
      </c>
      <c r="E10" s="1"/>
      <c r="F10" s="1"/>
    </row>
    <row r="11" spans="1:6" x14ac:dyDescent="0.25">
      <c r="A11" s="1"/>
      <c r="B11" s="94" t="s">
        <v>266</v>
      </c>
      <c r="C11" s="9">
        <v>80394</v>
      </c>
      <c r="D11" s="14" t="s">
        <v>3</v>
      </c>
      <c r="E11" s="1"/>
      <c r="F11" s="1"/>
    </row>
    <row r="12" spans="1:6" x14ac:dyDescent="0.25">
      <c r="A12" s="1"/>
      <c r="B12" s="94" t="s">
        <v>267</v>
      </c>
      <c r="C12" s="9">
        <v>18543</v>
      </c>
      <c r="D12" s="14" t="s">
        <v>3</v>
      </c>
      <c r="E12" s="1"/>
      <c r="F12" s="1"/>
    </row>
    <row r="13" spans="1:6" x14ac:dyDescent="0.25">
      <c r="A13" s="1"/>
      <c r="B13" s="94" t="s">
        <v>268</v>
      </c>
      <c r="C13" s="9">
        <v>162063</v>
      </c>
      <c r="D13" s="14" t="s">
        <v>3</v>
      </c>
      <c r="E13" s="1"/>
      <c r="F13" s="1"/>
    </row>
    <row r="14" spans="1:6" x14ac:dyDescent="0.25">
      <c r="A14" s="1"/>
      <c r="B14" s="94" t="s">
        <v>269</v>
      </c>
      <c r="C14" s="9">
        <v>179407</v>
      </c>
      <c r="D14" s="14" t="s">
        <v>3</v>
      </c>
      <c r="E14" s="1"/>
      <c r="F14" s="1"/>
    </row>
    <row r="15" spans="1:6" x14ac:dyDescent="0.25">
      <c r="A15" s="1"/>
      <c r="B15" s="32" t="s">
        <v>200</v>
      </c>
      <c r="C15" s="12">
        <f>SUM(C10:C14)</f>
        <v>854844</v>
      </c>
      <c r="D15" s="13" t="s">
        <v>3</v>
      </c>
      <c r="E15" s="1"/>
      <c r="F15" s="1"/>
    </row>
    <row r="16" spans="1:6" x14ac:dyDescent="0.25">
      <c r="A16" s="1"/>
      <c r="B16" s="32" t="s">
        <v>201</v>
      </c>
      <c r="C16" s="12">
        <f>C15*(1+'Fane 15. Nøgletal'!C15)^2</f>
        <v>916792.2878918401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stsQ6kCfJPVqWkX0wTTUVoclDgpm9lFYGNfexDs0GNGZtrMHSLK5xxhZc3mteIgu7bEYReoerlCPtDhNlP24sw==" saltValue="0ajoZ3Zp3YvjdAvY6cfJA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3472376.0499605685</v>
      </c>
      <c r="F9" s="14" t="s">
        <v>3</v>
      </c>
      <c r="G9" s="1"/>
    </row>
    <row r="10" spans="1:7" x14ac:dyDescent="0.25">
      <c r="A10" s="1"/>
      <c r="B10" s="141" t="s">
        <v>263</v>
      </c>
      <c r="C10" s="142"/>
      <c r="D10" s="143"/>
      <c r="E10" s="9">
        <v>3472376.0499605685</v>
      </c>
      <c r="F10" s="14" t="s">
        <v>3</v>
      </c>
      <c r="G10" s="1"/>
    </row>
    <row r="11" spans="1:7" x14ac:dyDescent="0.25">
      <c r="A11" s="1"/>
      <c r="B11" s="32"/>
      <c r="C11" s="27"/>
      <c r="D11" s="27"/>
      <c r="E11" s="27"/>
      <c r="F11" s="19"/>
      <c r="G11" s="1"/>
    </row>
    <row r="12" spans="1:7" ht="80.25" customHeight="1" x14ac:dyDescent="0.25">
      <c r="A12" s="1"/>
      <c r="B12" s="134" t="s">
        <v>288</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282</v>
      </c>
      <c r="C15" s="142"/>
      <c r="D15" s="143"/>
      <c r="E15" s="9">
        <v>0</v>
      </c>
      <c r="F15" s="14" t="s">
        <v>3</v>
      </c>
      <c r="G15" s="1"/>
    </row>
    <row r="16" spans="1:7" x14ac:dyDescent="0.25">
      <c r="A16" s="1"/>
      <c r="B16" s="141" t="s">
        <v>283</v>
      </c>
      <c r="C16" s="142"/>
      <c r="D16" s="143"/>
      <c r="E16" s="9">
        <v>0</v>
      </c>
      <c r="F16" s="14" t="s">
        <v>3</v>
      </c>
      <c r="G16" s="1"/>
    </row>
    <row r="17" spans="1:7" x14ac:dyDescent="0.25">
      <c r="A17" s="1"/>
      <c r="B17" s="32"/>
      <c r="C17" s="27"/>
      <c r="D17" s="27"/>
      <c r="E17" s="27"/>
      <c r="F17" s="19"/>
      <c r="G17" s="1"/>
    </row>
    <row r="18" spans="1:7" ht="29.25" customHeight="1" x14ac:dyDescent="0.25">
      <c r="A18" s="1"/>
      <c r="B18" s="134" t="s">
        <v>289</v>
      </c>
      <c r="C18" s="135"/>
      <c r="D18" s="135"/>
      <c r="E18" s="135"/>
      <c r="F18" s="136"/>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52024675.543060437</v>
      </c>
      <c r="F21" s="14" t="s">
        <v>3</v>
      </c>
      <c r="G21" s="1"/>
    </row>
    <row r="22" spans="1:7" x14ac:dyDescent="0.25">
      <c r="A22" s="1"/>
      <c r="B22" s="91" t="s">
        <v>207</v>
      </c>
      <c r="C22" s="92"/>
      <c r="D22" s="93"/>
      <c r="E22" s="9">
        <v>53641790</v>
      </c>
      <c r="F22" s="14" t="s">
        <v>3</v>
      </c>
      <c r="G22" s="1"/>
    </row>
    <row r="23" spans="1:7" x14ac:dyDescent="0.25">
      <c r="A23" s="1"/>
      <c r="B23" s="91" t="s">
        <v>33</v>
      </c>
      <c r="C23" s="92"/>
      <c r="D23" s="93"/>
      <c r="E23" s="9">
        <v>0</v>
      </c>
      <c r="F23" s="14" t="s">
        <v>3</v>
      </c>
      <c r="G23" s="1"/>
    </row>
    <row r="24" spans="1:7" x14ac:dyDescent="0.25">
      <c r="A24" s="1"/>
      <c r="B24" s="89" t="s">
        <v>270</v>
      </c>
      <c r="C24" s="90"/>
      <c r="D24" s="96"/>
      <c r="E24" s="72">
        <f>E21-(E22-E23)</f>
        <v>-1617114.4569395632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7" t="s">
        <v>285</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0</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TGy002FEjIoA2GkjdbYunE0emMEV6CJeG7qA6xLx62sKz29yO1kvSmWF9EzGhA14KZjKTUeGi5RTX5GYlNZM1g==" saltValue="YrGkqQpuNF2AmfjBhsclB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272</v>
      </c>
      <c r="C10" s="164"/>
      <c r="D10" s="164"/>
      <c r="E10" s="164"/>
      <c r="F10" s="165"/>
      <c r="G10" s="9">
        <v>0</v>
      </c>
      <c r="H10" s="9" t="s">
        <v>3</v>
      </c>
      <c r="I10" s="1"/>
    </row>
    <row r="11" spans="1:9" x14ac:dyDescent="0.25">
      <c r="A11" s="1"/>
      <c r="B11" s="163" t="s">
        <v>273</v>
      </c>
      <c r="C11" s="164"/>
      <c r="D11" s="164"/>
      <c r="E11" s="164"/>
      <c r="F11" s="165"/>
      <c r="G11" s="9">
        <v>0</v>
      </c>
      <c r="H11" s="9" t="s">
        <v>3</v>
      </c>
      <c r="I11" s="1"/>
    </row>
    <row r="12" spans="1:9" x14ac:dyDescent="0.25">
      <c r="A12" s="1"/>
      <c r="B12" s="163" t="s">
        <v>274</v>
      </c>
      <c r="C12" s="164"/>
      <c r="D12" s="164"/>
      <c r="E12" s="164"/>
      <c r="F12" s="165"/>
      <c r="G12" s="9">
        <v>0</v>
      </c>
      <c r="H12" s="9" t="s">
        <v>3</v>
      </c>
      <c r="I12" s="1"/>
    </row>
    <row r="13" spans="1:9" x14ac:dyDescent="0.25">
      <c r="A13" s="1"/>
      <c r="B13" s="163" t="s">
        <v>275</v>
      </c>
      <c r="C13" s="164"/>
      <c r="D13" s="164"/>
      <c r="E13" s="164"/>
      <c r="F13" s="165"/>
      <c r="G13" s="9">
        <v>0</v>
      </c>
      <c r="H13" s="9" t="s">
        <v>3</v>
      </c>
      <c r="I13" s="1"/>
    </row>
    <row r="14" spans="1:9" x14ac:dyDescent="0.25">
      <c r="A14" s="1"/>
      <c r="B14" s="163" t="s">
        <v>276</v>
      </c>
      <c r="C14" s="164"/>
      <c r="D14" s="164"/>
      <c r="E14" s="164"/>
      <c r="F14" s="165"/>
      <c r="G14" s="9">
        <v>0</v>
      </c>
      <c r="H14" s="9" t="s">
        <v>3</v>
      </c>
      <c r="I14" s="1"/>
    </row>
    <row r="15" spans="1:9" x14ac:dyDescent="0.25">
      <c r="A15" s="1"/>
      <c r="B15" s="163" t="s">
        <v>277</v>
      </c>
      <c r="C15" s="164"/>
      <c r="D15" s="164"/>
      <c r="E15" s="164"/>
      <c r="F15" s="165"/>
      <c r="G15" s="9">
        <v>0</v>
      </c>
      <c r="H15" s="9" t="s">
        <v>3</v>
      </c>
      <c r="I15" s="1"/>
    </row>
    <row r="16" spans="1:9" x14ac:dyDescent="0.25">
      <c r="A16" s="1"/>
      <c r="B16" s="163" t="s">
        <v>278</v>
      </c>
      <c r="C16" s="164"/>
      <c r="D16" s="164"/>
      <c r="E16" s="164"/>
      <c r="F16" s="165"/>
      <c r="G16" s="9">
        <v>0</v>
      </c>
      <c r="H16" s="9" t="s">
        <v>3</v>
      </c>
      <c r="I16" s="1"/>
    </row>
    <row r="17" spans="1:9" x14ac:dyDescent="0.25">
      <c r="A17" s="1"/>
      <c r="B17" s="163" t="s">
        <v>279</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hYVqrjeIdjWjclWh5KETlCVfS6PizwPNHF9lQkqtN+/89rtOOp/0QJSAXY56XMuKwn0IcH5E6bRUwgrHrdH4fw==" saltValue="SWCsswJVV+sctnUhN8Lbn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AiBhjcStQNyEayeQOsEn/FH53RtOuI6fTl7YfEasYR7hksVAvoSZSwON6uIA9Py7V8xxE6h8eMtULwwS+dMkw==" saltValue="13kkAQQDVmQMAcgbAF5tl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ht="26.25" x14ac:dyDescent="0.25">
      <c r="A10" s="1"/>
      <c r="B10" s="97" t="s">
        <v>281</v>
      </c>
      <c r="C10" s="41">
        <v>75</v>
      </c>
      <c r="D10" s="9">
        <v>0</v>
      </c>
      <c r="E10" s="14" t="s">
        <v>3</v>
      </c>
      <c r="F10" s="9">
        <f>IFERROR(D10/C10,0)</f>
        <v>0</v>
      </c>
      <c r="G10" s="14" t="s">
        <v>3</v>
      </c>
      <c r="H10" s="44">
        <v>13957</v>
      </c>
      <c r="I10" s="14" t="s">
        <v>3</v>
      </c>
      <c r="J10" s="44">
        <v>0</v>
      </c>
      <c r="K10" s="14" t="s">
        <v>3</v>
      </c>
      <c r="L10" s="1"/>
    </row>
    <row r="11" spans="1:12" x14ac:dyDescent="0.25">
      <c r="A11" s="1"/>
      <c r="B11" s="86" t="s">
        <v>220</v>
      </c>
      <c r="C11" s="87"/>
      <c r="D11" s="88"/>
      <c r="E11" s="88"/>
      <c r="F11" s="12">
        <f>SUM(F10:F10)</f>
        <v>0</v>
      </c>
      <c r="G11" s="12" t="s">
        <v>243</v>
      </c>
      <c r="H11" s="12">
        <f>SUM(H10:H10)</f>
        <v>13957</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JZYuR8c4AnjMeQBcoIPh/RKGg37e4nCPwQD54xAaKBoqeJOcM5glokbqNcWRSr3xu94MtkLIgLRADAE+o1lr2g==" saltValue="X8yxGlSG2WuskguRn1Edc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13957</v>
      </c>
      <c r="D10" s="14" t="s">
        <v>3</v>
      </c>
      <c r="E10" s="9">
        <f>SUM('Fane 10. Anlægsprojekter (§ 19)'!F11,'Fane 10. Anlægsprojekter (§ 19)'!J11)</f>
        <v>0</v>
      </c>
      <c r="F10" s="14" t="s">
        <v>3</v>
      </c>
      <c r="G10" s="1"/>
    </row>
    <row r="11" spans="1:7" x14ac:dyDescent="0.25">
      <c r="A11" s="1"/>
      <c r="B11" s="23" t="s">
        <v>280</v>
      </c>
      <c r="C11" s="21">
        <v>62754</v>
      </c>
      <c r="D11" s="14" t="s">
        <v>3</v>
      </c>
      <c r="E11" s="9">
        <f>192224+148598</f>
        <v>340822</v>
      </c>
      <c r="F11" s="14" t="s">
        <v>3</v>
      </c>
      <c r="G11" s="1"/>
    </row>
    <row r="12" spans="1:7" x14ac:dyDescent="0.25">
      <c r="A12" s="1"/>
      <c r="B12" s="23" t="s">
        <v>286</v>
      </c>
      <c r="C12" s="21">
        <v>53567</v>
      </c>
      <c r="D12" s="14" t="s">
        <v>3</v>
      </c>
      <c r="E12" s="9">
        <v>0</v>
      </c>
      <c r="F12" s="14" t="s">
        <v>3</v>
      </c>
      <c r="G12" s="1"/>
    </row>
    <row r="13" spans="1:7" x14ac:dyDescent="0.25">
      <c r="A13" s="1"/>
      <c r="B13" s="32" t="s">
        <v>156</v>
      </c>
      <c r="C13" s="12">
        <f>SUM(C10:C12)</f>
        <v>130278</v>
      </c>
      <c r="D13" s="13" t="s">
        <v>3</v>
      </c>
      <c r="E13" s="12">
        <f>SUM(E10:E12)</f>
        <v>340822</v>
      </c>
      <c r="F13" s="13" t="s">
        <v>3</v>
      </c>
      <c r="G13" s="1"/>
    </row>
    <row r="14" spans="1:7" x14ac:dyDescent="0.25">
      <c r="A14" s="1"/>
      <c r="B14" s="32" t="s">
        <v>213</v>
      </c>
      <c r="C14" s="12">
        <f>C13*(1+'Fane 15. Nøgletal'!C15)</f>
        <v>134915.89680000002</v>
      </c>
      <c r="D14" s="13" t="s">
        <v>3</v>
      </c>
      <c r="E14" s="12">
        <f>E13*(1+'Fane 15. Nøgletal'!C15)</f>
        <v>352955.26320000004</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4ba9RLnseNPG38W+kuPcefwqMLAq/lg8IcGHR2DdiEdzgnafvBX8fKSYIT8D5C/BQGN/9Hl5KJaiRPF8jXojQ==" saltValue="lWc+rUBs1ru5dz8q2jwWi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286</v>
      </c>
      <c r="C10" s="21">
        <v>444000</v>
      </c>
      <c r="D10" s="14" t="s">
        <v>3</v>
      </c>
      <c r="E10" s="9">
        <v>0</v>
      </c>
      <c r="F10" s="14" t="s">
        <v>3</v>
      </c>
      <c r="G10" s="1"/>
    </row>
    <row r="11" spans="1:7" x14ac:dyDescent="0.25">
      <c r="A11" s="1"/>
      <c r="B11" s="32" t="s">
        <v>232</v>
      </c>
      <c r="C11" s="12">
        <f>SUM(C10:C10)</f>
        <v>444000</v>
      </c>
      <c r="D11" s="13" t="s">
        <v>3</v>
      </c>
      <c r="E11" s="12">
        <f>SUM(E10:E10)</f>
        <v>0</v>
      </c>
      <c r="F11" s="13" t="s">
        <v>3</v>
      </c>
      <c r="G11" s="1"/>
    </row>
    <row r="12" spans="1:7" x14ac:dyDescent="0.25">
      <c r="A12" s="1"/>
      <c r="B12" s="32" t="s">
        <v>136</v>
      </c>
      <c r="C12" s="12">
        <f>C11*(1+'Fane 15. Nøgletal'!C15)^2</f>
        <v>476175.50784000003</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OSbHQCQkaZWTI5t7wGoGlNm99J26H6aj1de/XUxtzMVba+586EX3j9hwQRqTuv2s/Txnc60UCcrzScdl8xurw==" saltValue="piyPJgjVtUJRRtjcYzskv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k6RkH1/ZEHnZo/k9H5m6pywjcn/gnIITJNPsZK51Cr5DMLzQ3s+oGqb3kR29jqtyyl+oWG3LK4c8uNhjQ2j7w==" saltValue="yWLTWxcl2/qPwTAfmaOrQ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 style="2" customWidth="1"/>
    <col min="2" max="2" width="41" style="2" customWidth="1"/>
    <col min="3" max="3" width="15.5703125" style="2" customWidth="1"/>
    <col min="4" max="4" width="3.28515625" style="2" customWidth="1"/>
    <col min="5" max="5" width="17.140625" style="2" customWidth="1"/>
    <col min="6" max="6" width="3.28515625" style="2" customWidth="1"/>
    <col min="7" max="7" width="2.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7YMMUWdLre+1mh2ANJZUcgAmiXxmPMYK0U/OEdoIJE1nogQUJtOSGn53a41MI3PpGbUUg7vD0oZ02tuu8mG/A==" saltValue="FbcvqtA8GhEsjSpqjXvwy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9pdRYS7mcUUoIOLV48CgdqYVmVHZXYHe04ltRL3DfTThG/yHYDvEDsXqAuxhcKrHQLBBCGaVLpJVmyMOoIkqbw==" saltValue="7aBGfseFuKaD1UBGmMkhe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49496083.41581066</v>
      </c>
      <c r="D9" s="8" t="s">
        <v>3</v>
      </c>
      <c r="E9" s="1"/>
    </row>
    <row r="10" spans="1:5" ht="17.25" customHeight="1" x14ac:dyDescent="0.25">
      <c r="A10" s="1"/>
      <c r="B10" s="83" t="s">
        <v>39</v>
      </c>
      <c r="C10" s="7">
        <f>'Fane 11.1. Varige tillæg'!C14</f>
        <v>134915.89680000002</v>
      </c>
      <c r="D10" s="8" t="s">
        <v>3</v>
      </c>
      <c r="E10" s="1"/>
    </row>
    <row r="11" spans="1:5" ht="17.25" customHeight="1" x14ac:dyDescent="0.25">
      <c r="A11" s="1"/>
      <c r="B11" s="83" t="s">
        <v>40</v>
      </c>
      <c r="C11" s="9">
        <f>'Fane 11.1. Varige tillæg'!E14</f>
        <v>352955.26320000004</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180705.28856817516</v>
      </c>
      <c r="D16" s="8" t="s">
        <v>3</v>
      </c>
      <c r="E16" s="1"/>
    </row>
    <row r="17" spans="1:5" ht="17.25" customHeight="1" x14ac:dyDescent="0.25">
      <c r="A17" s="1"/>
      <c r="B17" s="83" t="s">
        <v>10</v>
      </c>
      <c r="C17" s="44">
        <f>-SUM(C9,C10:C16)*'Fane 5. Individuelt eff. krav'!G9</f>
        <v>-719045.75742484222</v>
      </c>
      <c r="D17" s="8" t="s">
        <v>3</v>
      </c>
      <c r="E17" s="1"/>
    </row>
    <row r="18" spans="1:5" ht="17.25" customHeight="1" x14ac:dyDescent="0.25">
      <c r="A18" s="1"/>
      <c r="B18" s="83" t="s">
        <v>24</v>
      </c>
      <c r="C18" s="44">
        <f>-'Fane 4.1. Gen. krav - drift'!G45</f>
        <v>-335851.963415612</v>
      </c>
      <c r="D18" s="8" t="s">
        <v>3</v>
      </c>
      <c r="E18" s="1"/>
    </row>
    <row r="19" spans="1:5" ht="17.25" customHeight="1" x14ac:dyDescent="0.25">
      <c r="A19" s="1"/>
      <c r="B19" s="83" t="s">
        <v>25</v>
      </c>
      <c r="C19" s="44">
        <f>-'Fane 4.2. Gen. krav - anlæg'!G43</f>
        <v>-552474.33464091062</v>
      </c>
      <c r="D19" s="8" t="s">
        <v>3</v>
      </c>
      <c r="E19" s="48"/>
    </row>
    <row r="20" spans="1:5" ht="17.25" customHeight="1" x14ac:dyDescent="0.25">
      <c r="A20" s="1"/>
      <c r="B20" s="89" t="s">
        <v>21</v>
      </c>
      <c r="C20" s="10">
        <f>SUM(C9:C19)</f>
        <v>48557287.808897465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916792.2878918401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476175.50784000003</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-16348.872466195406</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459826.6353738046</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49933906.732163109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Hkb2aUQLLKvbZtdUqMPAqgl3gqxVzAGHdixpJRhLUpPNgdcO4GAgDvKQw6SeVVNob3ySYt0i3ZPjhyoPdYAcw==" saltValue="yqLFs2kvInY5fmVWeZZnc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Hss25B3rLKZjxljiv5WHpQhtf9ow5UTnsMPbuvm44Lf0pW/H2TVbK/NYtKPcEGWninYXIzDFQk6Un40LX+draA==" saltValue="VIR6hJXgW4EOrqpWC/oK+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48557287.808897465</v>
      </c>
      <c r="D9" s="8" t="s">
        <v>3</v>
      </c>
      <c r="E9" s="1"/>
    </row>
    <row r="10" spans="1:5" ht="15" customHeight="1" x14ac:dyDescent="0.25">
      <c r="A10" s="1"/>
      <c r="B10" s="25" t="s">
        <v>19</v>
      </c>
      <c r="C10" s="7">
        <f>SUM(C9:C9)*'Fane 15. Nøgletal'!C15</f>
        <v>1728639.4459967497</v>
      </c>
      <c r="D10" s="8" t="s">
        <v>3</v>
      </c>
      <c r="E10" s="1"/>
    </row>
    <row r="11" spans="1:5" ht="15" customHeight="1" x14ac:dyDescent="0.25">
      <c r="A11" s="1"/>
      <c r="B11" s="25" t="s">
        <v>10</v>
      </c>
      <c r="C11" s="9">
        <f>-SUM(C9:C10)*'Fane 5. Individuelt eff. krav'!G9</f>
        <v>-720783.96920380776</v>
      </c>
      <c r="D11" s="8" t="s">
        <v>3</v>
      </c>
      <c r="E11" s="1"/>
    </row>
    <row r="12" spans="1:5" ht="15" customHeight="1" x14ac:dyDescent="0.25">
      <c r="A12" s="1"/>
      <c r="B12" s="25" t="s">
        <v>24</v>
      </c>
      <c r="C12" s="9">
        <f>-'Fane 4.1. Gen. krav - drift'!G53</f>
        <v>-340852.12744694366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49224291.158243462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949430.09334078967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50173721.251584254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eOREjI4lYH2G2B+jnzmBceoAq0cQZxoiQrD1g8I1HjNb175nqPuY/quguR8rlaPq2lx/+TVMT0d1CooNojeMg==" saltValue="c0ijNyWuCHOiNFLYfALxZ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49224291.158243462</v>
      </c>
      <c r="D9" s="8" t="s">
        <v>3</v>
      </c>
      <c r="E9" s="1"/>
    </row>
    <row r="10" spans="1:5" ht="15" customHeight="1" x14ac:dyDescent="0.25">
      <c r="A10" s="1"/>
      <c r="B10" s="25" t="s">
        <v>19</v>
      </c>
      <c r="C10" s="7">
        <f>SUM(C9:C9)*'Fane 15. Nøgletal'!C15</f>
        <v>1752384.7652334673</v>
      </c>
      <c r="D10" s="8" t="s">
        <v>3</v>
      </c>
      <c r="E10" s="1"/>
    </row>
    <row r="11" spans="1:5" ht="15" customHeight="1" x14ac:dyDescent="0.25">
      <c r="A11" s="1"/>
      <c r="B11" s="25" t="s">
        <v>10</v>
      </c>
      <c r="C11" s="9">
        <f>-SUM(C9:C10)*'Fane 5. Individuelt eff. krav'!G9</f>
        <v>-730684.9612753985</v>
      </c>
      <c r="D11" s="8" t="s">
        <v>3</v>
      </c>
      <c r="E11" s="1"/>
    </row>
    <row r="12" spans="1:5" ht="15" customHeight="1" x14ac:dyDescent="0.25">
      <c r="A12" s="1"/>
      <c r="B12" s="25" t="s">
        <v>24</v>
      </c>
      <c r="C12" s="9">
        <f>-'Fane 4.1. Gen. krav - drift'!G58</f>
        <v>-345926.73392037378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49900064.228281155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983229.80466372182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50883294.03294488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1VtTHGYUk93aH7YY6c6wDd5zWYLs30ABFWQPpe7pZAj1zTUnuPATU1akV63NTyvB8wXw0bWb00P8JLV4NSNQQ==" saltValue="zAQNIlUDRZeC9hwX6tVwY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49900064.228281155</v>
      </c>
      <c r="D9" s="8" t="s">
        <v>3</v>
      </c>
      <c r="E9" s="1"/>
    </row>
    <row r="10" spans="1:5" ht="15" customHeight="1" x14ac:dyDescent="0.25">
      <c r="A10" s="1"/>
      <c r="B10" s="25" t="s">
        <v>19</v>
      </c>
      <c r="C10" s="7">
        <f>SUM(C9:C9)*'Fane 15. Nøgletal'!C15</f>
        <v>1776442.2865268092</v>
      </c>
      <c r="D10" s="8" t="s">
        <v>3</v>
      </c>
      <c r="E10" s="1"/>
    </row>
    <row r="11" spans="1:5" ht="15" customHeight="1" x14ac:dyDescent="0.25">
      <c r="A11" s="1"/>
      <c r="B11" s="25" t="s">
        <v>10</v>
      </c>
      <c r="C11" s="9">
        <f>-SUM(C9:C10)*'Fane 5. Individuelt eff. krav'!G9</f>
        <v>-740716.1310067022</v>
      </c>
      <c r="D11" s="8" t="s">
        <v>3</v>
      </c>
      <c r="E11" s="1"/>
    </row>
    <row r="12" spans="1:5" ht="15" customHeight="1" x14ac:dyDescent="0.25">
      <c r="A12" s="1"/>
      <c r="B12" s="25" t="s">
        <v>24</v>
      </c>
      <c r="C12" s="9">
        <f>-'Fane 4.1. Gen. krav - drift'!G63</f>
        <v>-351076.89113498031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50584713.492666282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1018232.7857097504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51602946.278376035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AzjZ5ZU9VwqiDTRYv5iJyysB9hjSjfaq9zUg7XOIAy7/3ahz4fpUuEXmoMizGA4AHsSdJ3nHf2ucbGON2XZT2g==" saltValue="zTsjq8NjPB5jFzsDSWk86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4" t="s">
        <v>192</v>
      </c>
      <c r="C9" s="135"/>
      <c r="D9" s="136"/>
      <c r="E9" s="7">
        <v>50652060.8238426</v>
      </c>
      <c r="F9" s="8" t="s">
        <v>3</v>
      </c>
      <c r="G9" s="1"/>
    </row>
    <row r="10" spans="1:7" ht="15" customHeight="1" x14ac:dyDescent="0.25">
      <c r="A10" s="1"/>
      <c r="B10" s="125" t="s">
        <v>39</v>
      </c>
      <c r="C10" s="126"/>
      <c r="D10" s="127"/>
      <c r="E10" s="7">
        <v>28538.8685</v>
      </c>
      <c r="F10" s="8" t="s">
        <v>3</v>
      </c>
      <c r="G10" s="1"/>
    </row>
    <row r="11" spans="1:7" ht="15" customHeight="1" x14ac:dyDescent="0.25">
      <c r="A11" s="1"/>
      <c r="B11" s="125" t="s">
        <v>40</v>
      </c>
      <c r="C11" s="126"/>
      <c r="D11" s="127"/>
      <c r="E11" s="9">
        <v>277820.79310000001</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168162.78760196059</v>
      </c>
      <c r="F16" s="8" t="s">
        <v>3</v>
      </c>
      <c r="G16" s="1"/>
    </row>
    <row r="17" spans="1:7" ht="15" customHeight="1" x14ac:dyDescent="0.25">
      <c r="A17" s="1"/>
      <c r="B17" s="134" t="s">
        <v>10</v>
      </c>
      <c r="C17" s="135"/>
      <c r="D17" s="136"/>
      <c r="E17" s="9">
        <v>-732833.68996218371</v>
      </c>
      <c r="F17" s="8" t="s">
        <v>3</v>
      </c>
      <c r="G17" s="1"/>
    </row>
    <row r="18" spans="1:7" ht="15" customHeight="1" x14ac:dyDescent="0.25">
      <c r="A18" s="1"/>
      <c r="B18" s="134" t="s">
        <v>24</v>
      </c>
      <c r="C18" s="135"/>
      <c r="D18" s="136"/>
      <c r="E18" s="9">
        <f>-'Fane 4.1. Gen. krav - drift'!G39</f>
        <v>-338736.84734365402</v>
      </c>
      <c r="F18" s="8" t="s">
        <v>3</v>
      </c>
      <c r="G18" s="1"/>
    </row>
    <row r="19" spans="1:7" ht="15" customHeight="1" x14ac:dyDescent="0.25">
      <c r="A19" s="1"/>
      <c r="B19" s="134" t="s">
        <v>25</v>
      </c>
      <c r="C19" s="135"/>
      <c r="D19" s="136"/>
      <c r="E19" s="9">
        <f>-'Fane 4.2. Gen. krav - anlæg'!G37</f>
        <v>-558929.31992806855</v>
      </c>
      <c r="F19" s="8" t="s">
        <v>3</v>
      </c>
      <c r="G19" s="1"/>
    </row>
    <row r="20" spans="1:7" ht="15" customHeight="1" x14ac:dyDescent="0.25">
      <c r="A20" s="1"/>
      <c r="B20" s="54" t="s">
        <v>21</v>
      </c>
      <c r="C20" s="99"/>
      <c r="D20" s="101"/>
      <c r="E20" s="51">
        <f>SUM(E9:E19)</f>
        <v>49496083.41581066</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765226.60518889013</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50261310.020999551</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HGHctDMDJQF4of6Ao514AQBrwvH0UVx1tQ3p3Qo1yjBXaMB1FjcEGWf2frj1cqlR+sgbhgs3+nDPUgNwgztknw==" saltValue="FCX1mIglhXt/PxcOWV4kE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4.57031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17318997.541342873</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346379.95082685747</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17269638.398350049</v>
      </c>
      <c r="H11" s="14" t="s">
        <v>3</v>
      </c>
      <c r="I11" s="1"/>
    </row>
    <row r="12" spans="1:9" ht="15" customHeight="1" x14ac:dyDescent="0.25">
      <c r="A12" s="1"/>
      <c r="B12" s="141" t="s">
        <v>121</v>
      </c>
      <c r="C12" s="142"/>
      <c r="D12" s="142"/>
      <c r="E12" s="142"/>
      <c r="F12" s="143"/>
      <c r="G12" s="77">
        <v>0</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345392.76796700101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17220419.928914752</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344408.39857829502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17208468.957484089</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344169.37914968177</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17196526.280027594</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343930.52560055192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16908209.320416652</v>
      </c>
      <c r="H37" s="14" t="s">
        <v>3</v>
      </c>
      <c r="I37" s="1"/>
    </row>
    <row r="38" spans="1:9" x14ac:dyDescent="0.25">
      <c r="A38" s="1"/>
      <c r="B38" s="141" t="s">
        <v>164</v>
      </c>
      <c r="C38" s="142"/>
      <c r="D38" s="142"/>
      <c r="E38" s="142"/>
      <c r="F38" s="143"/>
      <c r="G38" s="76">
        <v>28633.046766050003</v>
      </c>
      <c r="H38" s="14" t="s">
        <v>3</v>
      </c>
      <c r="I38" s="1"/>
    </row>
    <row r="39" spans="1:9" x14ac:dyDescent="0.25">
      <c r="A39" s="1"/>
      <c r="B39" s="141" t="s">
        <v>162</v>
      </c>
      <c r="C39" s="142"/>
      <c r="D39" s="142"/>
      <c r="E39" s="142"/>
      <c r="F39" s="143"/>
      <c r="G39" s="76">
        <f>(G37+G38)*'Fane 15. Nøgletal'!C31</f>
        <v>338736.84734365402</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16652879.268054519</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139718.90272608004</v>
      </c>
      <c r="H44" s="14" t="s">
        <v>3</v>
      </c>
      <c r="I44" s="1"/>
    </row>
    <row r="45" spans="1:9" x14ac:dyDescent="0.25">
      <c r="A45" s="1"/>
      <c r="B45" s="141" t="s">
        <v>163</v>
      </c>
      <c r="C45" s="142"/>
      <c r="D45" s="142"/>
      <c r="E45" s="142"/>
      <c r="F45" s="143"/>
      <c r="G45" s="76">
        <f>SUM(G43:G44)*'Fane 15. Nøgletal'!C31</f>
        <v>335851.963415612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17042606.372347184</v>
      </c>
      <c r="H52" s="14" t="s">
        <v>3</v>
      </c>
      <c r="I52" s="1"/>
    </row>
    <row r="53" spans="1:9" x14ac:dyDescent="0.25">
      <c r="A53" s="1"/>
      <c r="B53" s="141" t="s">
        <v>138</v>
      </c>
      <c r="C53" s="142"/>
      <c r="D53" s="142"/>
      <c r="E53" s="142"/>
      <c r="F53" s="143"/>
      <c r="G53" s="76">
        <f>(G52)*'Fane 15. Nøgletal'!C31</f>
        <v>340852.12744694366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17296336.696018688</v>
      </c>
      <c r="H57" s="14" t="s">
        <v>3</v>
      </c>
      <c r="I57" s="1"/>
    </row>
    <row r="58" spans="1:9" x14ac:dyDescent="0.25">
      <c r="A58" s="1"/>
      <c r="B58" s="91" t="s">
        <v>152</v>
      </c>
      <c r="C58" s="92"/>
      <c r="D58" s="92"/>
      <c r="E58" s="92"/>
      <c r="F58" s="93"/>
      <c r="G58" s="76">
        <f>(G57)*'Fane 15. Nøgletal'!C31</f>
        <v>345926.73392037378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17553844.556749016</v>
      </c>
      <c r="H62" s="14" t="s">
        <v>3</v>
      </c>
      <c r="I62" s="1"/>
    </row>
    <row r="63" spans="1:9" x14ac:dyDescent="0.25">
      <c r="A63" s="1"/>
      <c r="B63" s="91" t="s">
        <v>195</v>
      </c>
      <c r="C63" s="92"/>
      <c r="D63" s="92"/>
      <c r="E63" s="92"/>
      <c r="F63" s="93"/>
      <c r="G63" s="76">
        <f>(G62)*'Fane 15. Nøgletal'!C31</f>
        <v>351076.89113498031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XeR0lvVLPfWHV13OuPWm19PToUYXxJNIEGLARBL0Y9zDYhZ1MQzABo+/kqvCIeBoXZCbt1E4jy8g17NcyQRK6w==" saltValue="RGg72h0wxKwquTnGZteNg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5703125" style="2" customWidth="1"/>
    <col min="2" max="5" width="9.140625" style="2"/>
    <col min="6" max="6" width="28.4257812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38434464.609360769</v>
      </c>
      <c r="H5" s="14" t="s">
        <v>3</v>
      </c>
      <c r="I5" s="1"/>
    </row>
    <row r="6" spans="1:9" x14ac:dyDescent="0.25">
      <c r="A6" s="1"/>
      <c r="B6" s="141" t="s">
        <v>57</v>
      </c>
      <c r="C6" s="142"/>
      <c r="D6" s="142"/>
      <c r="E6" s="142"/>
      <c r="F6" s="143"/>
      <c r="G6" s="76">
        <f>G5*'Fane 15. Nøgletal'!C20</f>
        <v>349753.62794518302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38751193.423590362</v>
      </c>
      <c r="H10" s="14" t="s">
        <v>3</v>
      </c>
      <c r="I10" s="1"/>
    </row>
    <row r="11" spans="1:9" x14ac:dyDescent="0.25">
      <c r="A11" s="1"/>
      <c r="B11" s="141" t="s">
        <v>122</v>
      </c>
      <c r="C11" s="142"/>
      <c r="D11" s="142"/>
      <c r="E11" s="142"/>
      <c r="F11" s="143"/>
      <c r="G11" s="76">
        <v>-467011.08899953915</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677630.02732225752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38264666.972645767</v>
      </c>
      <c r="H17" s="14" t="s">
        <v>3</v>
      </c>
      <c r="I17" s="1"/>
    </row>
    <row r="18" spans="1:9" x14ac:dyDescent="0.25">
      <c r="A18" s="1"/>
      <c r="B18" s="144" t="s">
        <v>68</v>
      </c>
      <c r="C18" s="145"/>
      <c r="D18" s="145"/>
      <c r="E18" s="145"/>
      <c r="F18" s="146"/>
      <c r="G18" s="76">
        <v>3644.1176896399993</v>
      </c>
      <c r="H18" s="14" t="s">
        <v>3</v>
      </c>
      <c r="I18" s="1"/>
    </row>
    <row r="19" spans="1:9" x14ac:dyDescent="0.25">
      <c r="A19" s="1"/>
      <c r="B19" s="141" t="s">
        <v>69</v>
      </c>
      <c r="C19" s="142"/>
      <c r="D19" s="142"/>
      <c r="E19" s="142"/>
      <c r="F19" s="143"/>
      <c r="G19" s="76">
        <f>G17*'Fane 15. Nøgletal'!C21+G18*'Fane 15. Nøgletal'!C22</f>
        <v>677316.30923972989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38331537.378283262</v>
      </c>
      <c r="H23" s="14" t="s">
        <v>3</v>
      </c>
      <c r="I23" s="1"/>
    </row>
    <row r="24" spans="1:9" x14ac:dyDescent="0.25">
      <c r="A24" s="1"/>
      <c r="B24" s="144" t="s">
        <v>72</v>
      </c>
      <c r="C24" s="145"/>
      <c r="D24" s="145"/>
      <c r="E24" s="145"/>
      <c r="F24" s="146"/>
      <c r="G24" s="76">
        <v>25366.448422180802</v>
      </c>
      <c r="H24" s="14" t="s">
        <v>3</v>
      </c>
      <c r="I24" s="1"/>
    </row>
    <row r="25" spans="1:9" x14ac:dyDescent="0.25">
      <c r="A25" s="1"/>
      <c r="B25" s="141" t="s">
        <v>73</v>
      </c>
      <c r="C25" s="142"/>
      <c r="D25" s="142"/>
      <c r="E25" s="142"/>
      <c r="F25" s="143"/>
      <c r="G25" s="76">
        <f>(G23+G24)*'Fane 15. Nøgletal'!C23</f>
        <v>1089336.0686784345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38001738.842860147</v>
      </c>
      <c r="H29" s="14" t="s">
        <v>3</v>
      </c>
      <c r="I29" s="1"/>
    </row>
    <row r="30" spans="1:9" x14ac:dyDescent="0.25">
      <c r="A30" s="1"/>
      <c r="B30" s="141" t="s">
        <v>139</v>
      </c>
      <c r="C30" s="142"/>
      <c r="D30" s="142"/>
      <c r="E30" s="142"/>
      <c r="F30" s="143"/>
      <c r="G30" s="76">
        <v>453437.65376531996</v>
      </c>
      <c r="H30" s="14" t="s">
        <v>3</v>
      </c>
      <c r="I30" s="1"/>
    </row>
    <row r="31" spans="1:9" x14ac:dyDescent="0.25">
      <c r="A31" s="1"/>
      <c r="B31" s="141" t="s">
        <v>76</v>
      </c>
      <c r="C31" s="142"/>
      <c r="D31" s="142"/>
      <c r="E31" s="142"/>
      <c r="F31" s="143"/>
      <c r="G31" s="76">
        <f>G29*'Fane 15. Nøgletal'!C23+G30*'Fane 15. Nøgletal'!C24</f>
        <v>1091718.9186157745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37486756.988017127</v>
      </c>
      <c r="H35" s="14" t="s">
        <v>3</v>
      </c>
      <c r="I35" s="1"/>
    </row>
    <row r="36" spans="1:9" x14ac:dyDescent="0.25">
      <c r="A36" s="1"/>
      <c r="B36" s="141" t="s">
        <v>167</v>
      </c>
      <c r="C36" s="142"/>
      <c r="D36" s="142"/>
      <c r="E36" s="142"/>
      <c r="F36" s="143"/>
      <c r="G36" s="76">
        <v>278737.60171723005</v>
      </c>
      <c r="H36" s="14" t="s">
        <v>3</v>
      </c>
      <c r="I36" s="1"/>
    </row>
    <row r="37" spans="1:9" x14ac:dyDescent="0.25">
      <c r="A37" s="1"/>
      <c r="B37" s="141" t="s">
        <v>166</v>
      </c>
      <c r="C37" s="142"/>
      <c r="D37" s="142"/>
      <c r="E37" s="142"/>
      <c r="F37" s="143"/>
      <c r="G37" s="76">
        <f>(G35+G36)*'Fane 15. Nøgletal'!C25</f>
        <v>558929.31992806855</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37329346.93519666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365520.47056992009</v>
      </c>
      <c r="H42" s="14" t="s">
        <v>3</v>
      </c>
      <c r="I42" s="1"/>
    </row>
    <row r="43" spans="1:9" x14ac:dyDescent="0.25">
      <c r="A43" s="1"/>
      <c r="B43" s="141" t="s">
        <v>168</v>
      </c>
      <c r="C43" s="142"/>
      <c r="D43" s="142"/>
      <c r="E43" s="142"/>
      <c r="F43" s="143"/>
      <c r="G43" s="76">
        <f>(G41)*'Fane 15. Nøgletal'!C25+G42*'Fane 15. Nøgletal'!C26</f>
        <v>552474.33464091062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38464662.264457747</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39834004.241072446</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41252094.792054631</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RPTeEMCzLP9L3uuzwFHwXInAnCI/7AuqsVta0Sv8yQWpAgsSlw0d4mNW8jdDFCl9qCljqGelJBKZUefUGuxY1Q==" saltValue="Afk1qTIJ3QEkRzQ6fOpcM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1.4333711408963938E-2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sdAZjThmoVKlieA8Ta9BXEth0ita/brgj40HOUnb0Tj/paVLcBs+kFQplnfea3AM//Bg9j0BQVWXuar5ZkwrEw==" saltValue="lqg17ryk09eUB9d3xOtjB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2022-12-01T08:50:18Z</dcterms:modified>
</cp:coreProperties>
</file>