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Otterup Vandværk (V146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29" i="8" s="1"/>
  <c r="E25" i="2" s="1"/>
  <c r="E35" i="8" l="1"/>
  <c r="E20" i="5" s="1"/>
  <c r="E10" i="2"/>
  <c r="E14" i="6"/>
  <c r="E21" i="3" l="1"/>
  <c r="E20" i="4"/>
  <c r="C11" i="12"/>
  <c r="C12" i="12" s="1"/>
  <c r="C13" i="7"/>
  <c r="C14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<sst xmlns="http://schemas.openxmlformats.org/spreadsheetml/2006/main" count="403" uniqueCount="153">
  <si>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</si>
  <si>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</si>
  <si>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</si>
  <si>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</si>
  <si>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</si>
  <si>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</si>
  <si>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</si>
  <si>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</si>
  <si>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</si>
  <si>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</si>
  <si>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</si>
  <si>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</si>
  <si>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</si>
  <si>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</si>
  <si>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</si>
  <si>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</si>
  <si>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</si>
  <si>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</si>
  <si>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</si>
  <si>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</si>
  <si>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</si>
  <si>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</si>
  <si>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</si>
  <si>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</si>
  <si>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</si>
  <si>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</si>
  <si>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</si>
  <si>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</si>
  <si>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</si>
  <si>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</si>
  <si>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</si>
  <si>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</si>
  <si>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</si>
  <si>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</si>
  <si>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</si>
  <si>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</si>
  <si>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</si>
  <si>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</si>
  <si>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</si>
  <si>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</si>
  <si>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</si>
  <si>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</si>
  <si>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</si>
  <si>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</si>
  <si>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</si>
  <si>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</si>
  <si>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</si>
  <si>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</si>
  <si>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</si>
  <si>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</si>
  <si>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</si>
  <si>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</si>
  <si>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</si>
  <si>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</si>
  <si>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</si>
  <si>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</si>
  <si>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</si>
  <si>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</si>
  <si>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</si>
  <si>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</si>
  <si>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</si>
  <si>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</si>
  <si>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</si>
  <si>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</si>
  <si>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</si>
  <si>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</si>
  <si>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</si>
  <si>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</si>
  <si>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</si>
  <si>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</si>
  <si>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</si>
  <si>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</si>
  <si>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</si>
  <si>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</si>
  <si>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</si>
  <si>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</si>
  <si>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</si>
  <si>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</si>
  <si>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</si>
  <si>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</si>
  <si>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</si>
  <si>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</si>
  <si>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</si>
  <si>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</si>
  <si>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</si>
  <si>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</si>
  <si>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</si>
  <si>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</si>
  <si>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</si>
  <si>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</si>
  <si>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</si>
  <si>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</si>
  <si>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</si>
  <si>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</si>
  <si>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</si>
  <si>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</si>
  <si>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</si>
  <si>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</si>
  <si>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</si>
  <si>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</si>
  <si>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</si>
  <si>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</si>
  <si>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</si>
  <si>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</si>
  <si>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</si>
  <si>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</si>
  <si>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</si>
  <si>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</si>
  <si>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</si>
  <si>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</si>
  <si>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</si>
  <si>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</si>
  <si>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</si>
  <si>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</si>
  <si>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</si>
  <si>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</si>
  <si>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</si>
  <si>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</si>
  <si>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</si>
  <si>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</si>
  <si>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</si>
  <si>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</si>
  <si>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</si>
  <si>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</si>
  <si>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</si>
  <si>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</si>
  <si>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</si>
  <si>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</si>
  <si>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</si>
  <si>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</si>
  <si>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</si>
  <si>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for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</si>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</sst>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6" fillId="7" borderId="1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4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5">
      <c r="A8" s="1"/>
      <c r="B8" s="1"/>
      <c r="C8" s="4"/>
      <c r="D8" s="72" t="s">
        <v>94</v>
      </c>
      <c r="E8" s="72"/>
      <c r="F8" s="72"/>
      <c r="G8" s="7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7" t="s">
        <v>87</v>
      </c>
      <c r="E13" s="68"/>
      <c r="F13" s="68"/>
      <c r="G13" s="69"/>
      <c r="H13" s="1"/>
      <c r="I13" s="1"/>
    </row>
    <row r="14" spans="1:9" x14ac:dyDescent="0.45">
      <c r="A14" s="1"/>
      <c r="B14" s="1"/>
      <c r="C14" s="6" t="s">
        <v>15</v>
      </c>
      <c r="D14" s="67" t="s">
        <v>37</v>
      </c>
      <c r="E14" s="68"/>
      <c r="F14" s="68"/>
      <c r="G14" s="69"/>
      <c r="H14" s="1"/>
      <c r="I14" s="1"/>
    </row>
    <row r="15" spans="1:9" x14ac:dyDescent="0.45">
      <c r="A15" s="1"/>
      <c r="B15" s="1"/>
      <c r="C15" s="6" t="s">
        <v>32</v>
      </c>
      <c r="D15" s="67" t="s">
        <v>63</v>
      </c>
      <c r="E15" s="68"/>
      <c r="F15" s="68"/>
      <c r="G15" s="69"/>
      <c r="H15" s="1"/>
      <c r="I15" s="1"/>
    </row>
    <row r="16" spans="1:9" x14ac:dyDescent="0.45">
      <c r="A16" s="1"/>
      <c r="B16" s="1"/>
      <c r="C16" s="6" t="s">
        <v>33</v>
      </c>
      <c r="D16" s="67" t="s">
        <v>95</v>
      </c>
      <c r="E16" s="68"/>
      <c r="F16" s="68"/>
      <c r="G16" s="69"/>
      <c r="H16" s="1"/>
      <c r="I16" s="1"/>
    </row>
    <row r="17" spans="1:9" x14ac:dyDescent="0.45">
      <c r="A17" s="1"/>
      <c r="B17" s="1"/>
      <c r="C17" s="6" t="s">
        <v>59</v>
      </c>
      <c r="D17" s="67" t="s">
        <v>96</v>
      </c>
      <c r="E17" s="68"/>
      <c r="F17" s="68"/>
      <c r="G17" s="69"/>
      <c r="H17" s="1"/>
      <c r="I17" s="1"/>
    </row>
    <row r="18" spans="1:9" x14ac:dyDescent="0.45">
      <c r="A18" s="1"/>
      <c r="B18" s="1"/>
      <c r="C18" s="6" t="s">
        <v>7</v>
      </c>
      <c r="D18" s="64" t="s">
        <v>12</v>
      </c>
      <c r="E18" s="65"/>
      <c r="F18" s="65"/>
      <c r="G18" s="66"/>
      <c r="H18" s="1"/>
      <c r="I18" s="1"/>
    </row>
    <row r="19" spans="1:9" x14ac:dyDescent="0.45">
      <c r="A19" s="1"/>
      <c r="B19" s="1"/>
      <c r="C19" s="6" t="s">
        <v>8</v>
      </c>
      <c r="D19" s="58" t="s">
        <v>97</v>
      </c>
      <c r="E19" s="59"/>
      <c r="F19" s="59"/>
      <c r="G19" s="60"/>
      <c r="H19" s="1"/>
      <c r="I19" s="1"/>
    </row>
    <row r="20" spans="1:9" x14ac:dyDescent="0.45">
      <c r="A20" s="1"/>
      <c r="B20" s="1"/>
      <c r="C20" s="6" t="s">
        <v>56</v>
      </c>
      <c r="D20" s="58" t="s">
        <v>34</v>
      </c>
      <c r="E20" s="59"/>
      <c r="F20" s="59"/>
      <c r="G20" s="60"/>
      <c r="H20" s="1"/>
      <c r="I20" s="1"/>
    </row>
    <row r="21" spans="1:9" x14ac:dyDescent="0.45">
      <c r="A21" s="1"/>
      <c r="B21" s="1"/>
      <c r="C21" s="6" t="s">
        <v>82</v>
      </c>
      <c r="D21" s="58" t="s">
        <v>41</v>
      </c>
      <c r="E21" s="59"/>
      <c r="F21" s="59"/>
      <c r="G21" s="60"/>
      <c r="H21" s="1"/>
      <c r="I21" s="1"/>
    </row>
    <row r="22" spans="1:9" x14ac:dyDescent="0.45">
      <c r="A22" s="1"/>
      <c r="B22" s="1"/>
      <c r="C22" s="6" t="s">
        <v>83</v>
      </c>
      <c r="D22" s="58" t="s">
        <v>42</v>
      </c>
      <c r="E22" s="59"/>
      <c r="F22" s="59"/>
      <c r="G22" s="60"/>
      <c r="H22" s="1"/>
      <c r="I22" s="1"/>
    </row>
    <row r="23" spans="1:9" x14ac:dyDescent="0.45">
      <c r="A23" s="1"/>
      <c r="B23" s="1"/>
      <c r="C23" s="6" t="s">
        <v>84</v>
      </c>
      <c r="D23" s="58" t="s">
        <v>64</v>
      </c>
      <c r="E23" s="59"/>
      <c r="F23" s="59"/>
      <c r="G23" s="60"/>
      <c r="H23" s="1"/>
      <c r="I23" s="1"/>
    </row>
    <row r="24" spans="1:9" x14ac:dyDescent="0.45">
      <c r="A24" s="1"/>
      <c r="B24" s="1"/>
      <c r="C24" s="6" t="s">
        <v>9</v>
      </c>
      <c r="D24" s="58" t="s">
        <v>35</v>
      </c>
      <c r="E24" s="59"/>
      <c r="F24" s="59"/>
      <c r="G24" s="60"/>
      <c r="H24" s="1"/>
      <c r="I24" s="1"/>
    </row>
    <row r="25" spans="1:9" x14ac:dyDescent="0.45">
      <c r="A25" s="1"/>
      <c r="B25" s="1"/>
      <c r="C25" s="6" t="s">
        <v>50</v>
      </c>
      <c r="D25" s="61" t="s">
        <v>57</v>
      </c>
      <c r="E25" s="62"/>
      <c r="F25" s="62"/>
      <c r="G25" s="63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71Fs69B/dX2MZxuSD2c1GBKYB2+GT4ZvSiLYL3puGttpCu+x5/Eyn/UId2wL+BE6fcdHd15JHnlejRQhjJq7RA==" saltValue="bb5VprGLoUoANWgxKl3/Bw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5" t="s">
        <v>38</v>
      </c>
      <c r="C8" s="22"/>
      <c r="D8" s="22"/>
      <c r="E8" s="22"/>
      <c r="F8" s="56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4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5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5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xfFxUW5KirvjsrPoxNs3/dGcYgo5h8W+9FhEJwUJthf4qT2kCbeqcLw9+sbWtsqpxNTFFxEx1PbQmXL/aMQtIA==" saltValue="CgzqOFhRs3EJCsOifvBKhw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4"/>
      <c r="G9" s="1"/>
    </row>
    <row r="10" spans="1:7" x14ac:dyDescent="0.4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5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5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4"/>
      <c r="G16" s="1"/>
    </row>
    <row r="17" spans="1:7" x14ac:dyDescent="0.4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5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5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4"/>
      <c r="G23" s="1"/>
    </row>
    <row r="24" spans="1:7" x14ac:dyDescent="0.4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5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5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4"/>
      <c r="G30" s="1"/>
    </row>
    <row r="31" spans="1:7" x14ac:dyDescent="0.4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5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5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6KNZLUb2azM/CBGkltjsjSZ2qP2m6ax+XBDreIZMlRDHoWul/s+1snduChWIPe+M7c4/ZAAV+3yn4sUlaTP0yQ==" saltValue="57xUvoYDQB1fvkR2wE+cfQ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91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3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TQCvmtjomPzHywdfRf7VY90dJK50x2oF1WhZvJMkagodr/KDb02xCo1+XBXEnRKL0IBQaBEuf7CI3Vzte39rEg==" saltValue="W96eJNIggwNKKBRG7AxmBg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92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3" t="s">
        <v>17</v>
      </c>
      <c r="C9" s="53" t="s">
        <v>11</v>
      </c>
      <c r="D9" s="54"/>
      <c r="E9" s="53" t="s">
        <v>28</v>
      </c>
      <c r="F9" s="54"/>
      <c r="G9" s="1"/>
    </row>
    <row r="10" spans="1:7" x14ac:dyDescent="0.45">
      <c r="A10" s="1"/>
      <c r="B10" s="20" t="s">
        <v>134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5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5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3" t="s">
        <v>17</v>
      </c>
      <c r="C15" s="53" t="s">
        <v>11</v>
      </c>
      <c r="D15" s="54"/>
      <c r="E15" s="53" t="s">
        <v>28</v>
      </c>
      <c r="F15" s="54"/>
      <c r="G15" s="1"/>
    </row>
    <row r="16" spans="1:7" x14ac:dyDescent="0.45">
      <c r="A16" s="1"/>
      <c r="B16" s="20" t="s">
        <v>134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5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5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3" t="s">
        <v>17</v>
      </c>
      <c r="C21" s="53" t="s">
        <v>11</v>
      </c>
      <c r="D21" s="54"/>
      <c r="E21" s="53" t="s">
        <v>28</v>
      </c>
      <c r="F21" s="54"/>
      <c r="G21" s="1"/>
    </row>
    <row r="22" spans="1:7" x14ac:dyDescent="0.45">
      <c r="A22" s="1"/>
      <c r="B22" s="20" t="s">
        <v>134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5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5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3" t="s">
        <v>17</v>
      </c>
      <c r="C27" s="53" t="s">
        <v>11</v>
      </c>
      <c r="D27" s="54"/>
      <c r="E27" s="53" t="s">
        <v>28</v>
      </c>
      <c r="F27" s="54"/>
      <c r="G27" s="1"/>
    </row>
    <row r="28" spans="1:7" x14ac:dyDescent="0.45">
      <c r="A28" s="1"/>
      <c r="B28" s="20" t="s">
        <v>134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5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5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Ef4/78ASnd5/RsCZN66SYEEVsy6mUDcmAhGRdulPrWeQXgEnwkewMh9iDoWoDo1BlFjMkbANO9HJSRza9urTJQ==" saltValue="1Uau/WzYeDgU3h32Odl1/Q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5" t="s">
        <v>93</v>
      </c>
      <c r="C3" s="75"/>
      <c r="D3" s="1"/>
    </row>
    <row r="4" spans="1:4" ht="25.5" customHeight="1" x14ac:dyDescent="0.45">
      <c r="A4" s="1"/>
      <c r="B4" s="75"/>
      <c r="C4" s="75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5" t="s">
        <v>14</v>
      </c>
      <c r="C8" s="56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5"/>
      <c r="C15" s="56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5" t="s">
        <v>54</v>
      </c>
      <c r="C18" s="56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Xe/WOSrPNXu55Pp9PJREZIuClDdHckxTbfzXrxDsDvwzMvZ9vwC0QzTjtSnviQUT+aT6IjKPWS/W6ZHTXuV6vg==" saltValue="UcH4roe7aO9yndUNSaW85w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13</v>
      </c>
      <c r="C8" s="41"/>
      <c r="D8" s="41"/>
      <c r="E8" s="41"/>
      <c r="F8" s="41"/>
      <c r="G8" s="1"/>
    </row>
    <row r="9" spans="1:7" x14ac:dyDescent="0.45">
      <c r="A9" s="1"/>
      <c r="B9" s="38" t="s">
        <v>24</v>
      </c>
      <c r="C9" s="38"/>
      <c r="D9" s="38"/>
      <c r="E9" s="7">
        <f>'Fane 3. Omkostninger i ØR2021'!E16</f>
        <v>3699112.0463592918</v>
      </c>
      <c r="F9" s="38" t="s">
        <v>3</v>
      </c>
      <c r="G9" s="1"/>
    </row>
    <row r="10" spans="1:7" ht="17.100000000000001" customHeight="1" x14ac:dyDescent="0.45">
      <c r="A10" s="1"/>
      <c r="B10" s="33" t="s">
        <v>121</v>
      </c>
      <c r="C10" s="38"/>
      <c r="D10" s="38"/>
      <c r="E10" s="7">
        <f>'Fane 3. Omkostninger i ØR2021'!E13*(1-'Fane 10. Nøgletal'!C19)*(1+'Fane 10. Nøgletal'!C13)</f>
        <v>0</v>
      </c>
      <c r="F10" s="38" t="s">
        <v>3</v>
      </c>
      <c r="G10" s="1"/>
    </row>
    <row r="11" spans="1:7" ht="17.100000000000001" customHeight="1" x14ac:dyDescent="0.45">
      <c r="A11" s="1"/>
      <c r="B11" s="29" t="s">
        <v>60</v>
      </c>
      <c r="C11" s="38"/>
      <c r="D11" s="38"/>
      <c r="E11" s="7">
        <f>'Fane 7.1. Varige tillæg'!C12+'Fane 7.1. Varige tillæg'!E12</f>
        <v>0</v>
      </c>
      <c r="F11" s="38" t="s">
        <v>3</v>
      </c>
      <c r="G11" s="1"/>
    </row>
    <row r="12" spans="1:7" ht="17.100000000000001" customHeight="1" x14ac:dyDescent="0.45">
      <c r="A12" s="1"/>
      <c r="B12" s="29" t="s">
        <v>62</v>
      </c>
      <c r="C12" s="38"/>
      <c r="D12" s="38"/>
      <c r="E12" s="8">
        <f>-('Fane 9. Bortfald'!C12+'Fane 9. Bortfald'!E12)</f>
        <v>0</v>
      </c>
      <c r="F12" s="38" t="s">
        <v>3</v>
      </c>
      <c r="G12" s="1"/>
    </row>
    <row r="13" spans="1:7" ht="17.100000000000001" customHeight="1" x14ac:dyDescent="0.45">
      <c r="A13" s="1"/>
      <c r="B13" s="29" t="s">
        <v>65</v>
      </c>
      <c r="C13" s="38"/>
      <c r="D13" s="38"/>
      <c r="E13" s="8">
        <f>'Fane 8. Tilknyttet virksomhed'!C12+'Fane 8. Tilknyttet virksomhed'!E12</f>
        <v>0</v>
      </c>
      <c r="F13" s="38" t="s">
        <v>3</v>
      </c>
      <c r="G13" s="1"/>
    </row>
    <row r="14" spans="1:7" ht="17.100000000000001" customHeight="1" x14ac:dyDescent="0.45">
      <c r="A14" s="1"/>
      <c r="B14" s="29" t="s">
        <v>18</v>
      </c>
      <c r="C14" s="38"/>
      <c r="D14" s="38"/>
      <c r="E14" s="8">
        <f>E9*'Fane 10. Nøgletal'!C13+SUM(E11:E13)*'Fane 10. Nøgletal'!C14</f>
        <v>45129.166965583361</v>
      </c>
      <c r="F14" s="38" t="s">
        <v>3</v>
      </c>
      <c r="G14" s="1"/>
    </row>
    <row r="15" spans="1:7" ht="17.100000000000001" customHeight="1" x14ac:dyDescent="0.45">
      <c r="A15" s="1"/>
      <c r="B15" s="29" t="s">
        <v>54</v>
      </c>
      <c r="C15" s="38"/>
      <c r="D15" s="38"/>
      <c r="E15" s="8">
        <f>-SUM(E9,E11:E14)*'Fane 10. Nøgletal'!C19</f>
        <v>-63652.100626522879</v>
      </c>
      <c r="F15" s="38" t="s">
        <v>3</v>
      </c>
      <c r="G15" s="1"/>
    </row>
    <row r="16" spans="1:7" ht="15" customHeight="1" x14ac:dyDescent="0.45">
      <c r="A16" s="1"/>
      <c r="B16" s="52" t="s">
        <v>20</v>
      </c>
      <c r="C16" s="40"/>
      <c r="D16" s="40"/>
      <c r="E16" s="9">
        <f>SUM(E9,E11:E15)</f>
        <v>3680589.1126983524</v>
      </c>
      <c r="F16" s="42" t="s">
        <v>3</v>
      </c>
      <c r="G16" s="1"/>
    </row>
    <row r="17" spans="1:7" ht="15" customHeight="1" x14ac:dyDescent="0.45">
      <c r="A17" s="1"/>
      <c r="B17" s="41" t="s">
        <v>12</v>
      </c>
      <c r="C17" s="41"/>
      <c r="D17" s="41"/>
      <c r="E17" s="41"/>
      <c r="F17" s="41"/>
      <c r="G17" s="1"/>
    </row>
    <row r="18" spans="1:7" ht="15" customHeight="1" x14ac:dyDescent="0.45">
      <c r="A18" s="1"/>
      <c r="B18" s="42" t="s">
        <v>12</v>
      </c>
      <c r="C18" s="42"/>
      <c r="D18" s="42"/>
      <c r="E18" s="9">
        <f>'Fane 4. Ikke-påvirkelige omk.'!C14</f>
        <v>1798195.1986991845</v>
      </c>
      <c r="F18" s="42" t="s">
        <v>3</v>
      </c>
      <c r="G18" s="1"/>
    </row>
    <row r="19" spans="1:7" ht="15" customHeight="1" x14ac:dyDescent="0.45">
      <c r="A19" s="1"/>
      <c r="B19" s="41" t="s">
        <v>42</v>
      </c>
      <c r="C19" s="41"/>
      <c r="D19" s="41"/>
      <c r="E19" s="41"/>
      <c r="F19" s="41"/>
      <c r="G19" s="1"/>
    </row>
    <row r="20" spans="1:7" ht="15" customHeight="1" x14ac:dyDescent="0.45">
      <c r="A20" s="1"/>
      <c r="B20" s="29" t="s">
        <v>39</v>
      </c>
      <c r="C20" s="38"/>
      <c r="D20" s="38"/>
      <c r="E20" s="8">
        <f>'Fane 7.2. Engangstillæg'!C13</f>
        <v>0</v>
      </c>
      <c r="F20" s="38" t="s">
        <v>3</v>
      </c>
      <c r="G20" s="1"/>
    </row>
    <row r="21" spans="1:7" x14ac:dyDescent="0.45">
      <c r="A21" s="1"/>
      <c r="B21" s="29" t="s">
        <v>40</v>
      </c>
      <c r="C21" s="38"/>
      <c r="D21" s="38"/>
      <c r="E21" s="8">
        <f>'Fane 7.2. Engangstillæg'!E13</f>
        <v>0</v>
      </c>
      <c r="F21" s="38" t="s">
        <v>3</v>
      </c>
      <c r="G21" s="1"/>
    </row>
    <row r="22" spans="1:7" ht="15" customHeight="1" x14ac:dyDescent="0.45">
      <c r="A22" s="1"/>
      <c r="B22" s="52" t="s">
        <v>43</v>
      </c>
      <c r="C22" s="40"/>
      <c r="D22" s="40"/>
      <c r="E22" s="9">
        <f>SUM(E20:E21)</f>
        <v>0</v>
      </c>
      <c r="F22" s="42" t="s">
        <v>3</v>
      </c>
      <c r="G22" s="1"/>
    </row>
    <row r="23" spans="1:7" x14ac:dyDescent="0.45">
      <c r="A23" s="1"/>
      <c r="B23" s="41" t="s">
        <v>85</v>
      </c>
      <c r="C23" s="41"/>
      <c r="D23" s="41"/>
      <c r="E23" s="41"/>
      <c r="F23" s="41"/>
      <c r="G23" s="1"/>
    </row>
    <row r="24" spans="1:7" x14ac:dyDescent="0.45">
      <c r="A24" s="1"/>
      <c r="B24" s="52" t="s">
        <v>31</v>
      </c>
      <c r="C24" s="40"/>
      <c r="D24" s="40"/>
      <c r="E24" s="9">
        <v>46994.305011371966</v>
      </c>
      <c r="F24" s="42" t="s">
        <v>3</v>
      </c>
      <c r="G24" s="1"/>
    </row>
    <row r="25" spans="1:7" x14ac:dyDescent="0.45">
      <c r="A25" s="1"/>
      <c r="B25" s="52" t="s">
        <v>86</v>
      </c>
      <c r="C25" s="40"/>
      <c r="D25" s="40"/>
      <c r="E25" s="9">
        <f>'Fane 5. Kontrol af ØR2020'!E29</f>
        <v>0</v>
      </c>
      <c r="F25" s="42" t="s">
        <v>3</v>
      </c>
      <c r="G25" s="1"/>
    </row>
    <row r="26" spans="1:7" x14ac:dyDescent="0.45">
      <c r="A26" s="1"/>
      <c r="B26" s="41" t="s">
        <v>148</v>
      </c>
      <c r="C26" s="41"/>
      <c r="D26" s="41"/>
      <c r="E26" s="41"/>
      <c r="F26" s="41"/>
      <c r="G26" s="1"/>
    </row>
    <row r="27" spans="1:7" x14ac:dyDescent="0.45">
      <c r="A27" s="1"/>
      <c r="B27" s="42" t="s">
        <v>149</v>
      </c>
      <c r="C27" s="42"/>
      <c r="D27" s="42"/>
      <c r="E27" s="9">
        <v>0</v>
      </c>
      <c r="F27" s="42" t="s">
        <v>3</v>
      </c>
      <c r="G27" s="1"/>
    </row>
    <row r="28" spans="1:7" x14ac:dyDescent="0.45">
      <c r="A28" s="1"/>
      <c r="B28" s="41" t="s">
        <v>26</v>
      </c>
      <c r="C28" s="41"/>
      <c r="D28" s="41"/>
      <c r="E28" s="10">
        <f>SUM(E16,E18,E22,E24,E25,E27)</f>
        <v>5525778.6164089087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bfF9e8MQU+axHSwQzQuoDdkttqakbl7fogzwqKSiEPD9n55gi0BEcY6x+y9KO2+ElTaZXoFcqw5sqDNcVDinlQ==" saltValue="IQxn1sZCvIfWqBaDjC3mgQ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13</v>
      </c>
      <c r="C8" s="41"/>
      <c r="D8" s="41"/>
      <c r="E8" s="41"/>
      <c r="F8" s="41"/>
      <c r="G8" s="1"/>
    </row>
    <row r="9" spans="1:7" ht="15" customHeight="1" x14ac:dyDescent="0.45">
      <c r="A9" s="1"/>
      <c r="B9" s="38" t="s">
        <v>66</v>
      </c>
      <c r="C9" s="38"/>
      <c r="D9" s="38"/>
      <c r="E9" s="7">
        <f>'Fane 2.1. Økonomisk ramme 2022'!E16</f>
        <v>3680589.1126983524</v>
      </c>
      <c r="F9" s="38" t="s">
        <v>3</v>
      </c>
      <c r="G9" s="1"/>
    </row>
    <row r="10" spans="1:7" ht="15" customHeight="1" x14ac:dyDescent="0.45">
      <c r="A10" s="1"/>
      <c r="B10" s="29" t="s">
        <v>62</v>
      </c>
      <c r="C10" s="38"/>
      <c r="D10" s="38"/>
      <c r="E10" s="7">
        <f>-('Fane 9. Bortfald'!C18+'Fane 9. Bortfald'!E18)</f>
        <v>0</v>
      </c>
      <c r="F10" s="38" t="s">
        <v>3</v>
      </c>
      <c r="G10" s="1"/>
    </row>
    <row r="11" spans="1:7" ht="15" customHeight="1" x14ac:dyDescent="0.45">
      <c r="A11" s="1"/>
      <c r="B11" s="39" t="s">
        <v>18</v>
      </c>
      <c r="C11" s="38"/>
      <c r="D11" s="38"/>
      <c r="E11" s="8">
        <f>SUM(E9:E10)*'Fane 10. Nøgletal'!C14</f>
        <v>12145.944071904563</v>
      </c>
      <c r="F11" s="38" t="s">
        <v>3</v>
      </c>
      <c r="G11" s="1"/>
    </row>
    <row r="12" spans="1:7" ht="15" customHeight="1" x14ac:dyDescent="0.45">
      <c r="A12" s="1"/>
      <c r="B12" s="39" t="s">
        <v>54</v>
      </c>
      <c r="C12" s="38"/>
      <c r="D12" s="38"/>
      <c r="E12" s="8">
        <f>-SUM(E9:E11)*'Fane 10. Nøgletal'!C19</f>
        <v>-62776.495965094378</v>
      </c>
      <c r="F12" s="38" t="s">
        <v>3</v>
      </c>
      <c r="G12" s="1"/>
    </row>
    <row r="13" spans="1:7" ht="15" customHeight="1" x14ac:dyDescent="0.45">
      <c r="A13" s="1"/>
      <c r="B13" s="40" t="s">
        <v>20</v>
      </c>
      <c r="C13" s="40"/>
      <c r="D13" s="40"/>
      <c r="E13" s="9">
        <f>SUM(E9:E12)</f>
        <v>3629958.5608051629</v>
      </c>
      <c r="F13" s="42" t="s">
        <v>3</v>
      </c>
      <c r="G13" s="1"/>
    </row>
    <row r="14" spans="1:7" x14ac:dyDescent="0.45">
      <c r="A14" s="1"/>
      <c r="B14" s="41" t="s">
        <v>12</v>
      </c>
      <c r="C14" s="41"/>
      <c r="D14" s="41"/>
      <c r="E14" s="41"/>
      <c r="F14" s="41"/>
      <c r="G14" s="1"/>
    </row>
    <row r="15" spans="1:7" ht="15" customHeight="1" x14ac:dyDescent="0.45">
      <c r="A15" s="1"/>
      <c r="B15" s="42" t="s">
        <v>12</v>
      </c>
      <c r="C15" s="42"/>
      <c r="D15" s="42"/>
      <c r="E15" s="9">
        <f>'Fane 4. Ikke-påvirkelige omk.'!C14*(1+'Fane 10. Nøgletal'!C14)</f>
        <v>1804129.2428548918</v>
      </c>
      <c r="F15" s="42" t="s">
        <v>3</v>
      </c>
      <c r="G15" s="1"/>
    </row>
    <row r="16" spans="1:7" ht="15" customHeight="1" x14ac:dyDescent="0.45">
      <c r="A16" s="1"/>
      <c r="B16" s="41" t="s">
        <v>42</v>
      </c>
      <c r="C16" s="41"/>
      <c r="D16" s="41"/>
      <c r="E16" s="41"/>
      <c r="F16" s="41"/>
      <c r="G16" s="1"/>
    </row>
    <row r="17" spans="1:7" ht="15" customHeight="1" x14ac:dyDescent="0.45">
      <c r="A17" s="1"/>
      <c r="B17" s="29" t="s">
        <v>39</v>
      </c>
      <c r="C17" s="38"/>
      <c r="D17" s="38"/>
      <c r="E17" s="8">
        <f>'Fane 7.2. Engangstillæg'!C20</f>
        <v>0</v>
      </c>
      <c r="F17" s="38" t="s">
        <v>3</v>
      </c>
      <c r="G17" s="1"/>
    </row>
    <row r="18" spans="1:7" ht="15" customHeight="1" x14ac:dyDescent="0.45">
      <c r="A18" s="1"/>
      <c r="B18" s="29" t="s">
        <v>40</v>
      </c>
      <c r="C18" s="38"/>
      <c r="D18" s="38"/>
      <c r="E18" s="8">
        <f>'Fane 7.2. Engangstillæg'!E20</f>
        <v>0</v>
      </c>
      <c r="F18" s="38" t="s">
        <v>3</v>
      </c>
      <c r="G18" s="1"/>
    </row>
    <row r="19" spans="1:7" ht="15" customHeight="1" x14ac:dyDescent="0.45">
      <c r="A19" s="1"/>
      <c r="B19" s="52" t="s">
        <v>43</v>
      </c>
      <c r="C19" s="40"/>
      <c r="D19" s="40"/>
      <c r="E19" s="9">
        <f>SUM(E17:E18)</f>
        <v>0</v>
      </c>
      <c r="F19" s="42" t="s">
        <v>3</v>
      </c>
      <c r="G19" s="1"/>
    </row>
    <row r="20" spans="1:7" x14ac:dyDescent="0.45">
      <c r="A20" s="1"/>
      <c r="B20" s="41" t="s">
        <v>85</v>
      </c>
      <c r="C20" s="41"/>
      <c r="D20" s="41"/>
      <c r="E20" s="41"/>
      <c r="F20" s="41"/>
      <c r="G20" s="1"/>
    </row>
    <row r="21" spans="1:7" x14ac:dyDescent="0.45">
      <c r="A21" s="1"/>
      <c r="B21" s="42" t="s">
        <v>150</v>
      </c>
      <c r="C21" s="42"/>
      <c r="D21" s="42"/>
      <c r="E21" s="9">
        <f>'Fane 5. Kontrol af ØR2020'!E35</f>
        <v>-72029.948845777428</v>
      </c>
      <c r="F21" s="42" t="s">
        <v>3</v>
      </c>
      <c r="G21" s="1"/>
    </row>
    <row r="22" spans="1:7" x14ac:dyDescent="0.45">
      <c r="A22" s="1"/>
      <c r="B22" s="41" t="s">
        <v>47</v>
      </c>
      <c r="C22" s="41"/>
      <c r="D22" s="41"/>
      <c r="E22" s="10">
        <f>SUM(E13,E15,E19,E21)</f>
        <v>5362057.854814277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h7AEI3Jt/F5quSMkSDz4iFyffo4OK3OdTIMXX8syUtJgaKmNhwnlpM+NPKrPhTu0bS2JBDBTUyY+0fNCWif14Q==" saltValue="d1Of+M+fzPlkMZtCB4c4R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45">
      <c r="A8" s="1"/>
      <c r="B8" s="38" t="s">
        <v>67</v>
      </c>
      <c r="C8" s="38"/>
      <c r="D8" s="38"/>
      <c r="E8" s="7">
        <f>'Fane 2.2. Økonomisk ramme 2023'!E13</f>
        <v>3629958.5608051629</v>
      </c>
      <c r="F8" s="38" t="s">
        <v>3</v>
      </c>
      <c r="G8" s="1"/>
    </row>
    <row r="9" spans="1:7" ht="15" customHeight="1" x14ac:dyDescent="0.45">
      <c r="A9" s="1"/>
      <c r="B9" s="38" t="s">
        <v>62</v>
      </c>
      <c r="C9" s="38"/>
      <c r="D9" s="38"/>
      <c r="E9" s="7">
        <f>-('Fane 9. Bortfald'!C24+'Fane 9. Bortfald'!E24)</f>
        <v>0</v>
      </c>
      <c r="F9" s="38" t="s">
        <v>3</v>
      </c>
      <c r="G9" s="1"/>
    </row>
    <row r="10" spans="1:7" ht="15" customHeight="1" x14ac:dyDescent="0.45">
      <c r="A10" s="1"/>
      <c r="B10" s="39" t="s">
        <v>18</v>
      </c>
      <c r="C10" s="38"/>
      <c r="D10" s="38"/>
      <c r="E10" s="8">
        <f>SUM(E8:E9)*'Fane 10. Nøgletal'!C14</f>
        <v>11978.863250657037</v>
      </c>
      <c r="F10" s="38" t="s">
        <v>3</v>
      </c>
      <c r="G10" s="1"/>
    </row>
    <row r="11" spans="1:7" ht="15" customHeight="1" x14ac:dyDescent="0.45">
      <c r="A11" s="1"/>
      <c r="B11" s="39" t="s">
        <v>54</v>
      </c>
      <c r="C11" s="38"/>
      <c r="D11" s="38"/>
      <c r="E11" s="8">
        <f>-SUM(E8:E10)*'Fane 10. Nøgletal'!C19</f>
        <v>-61912.936208948944</v>
      </c>
      <c r="F11" s="38" t="s">
        <v>3</v>
      </c>
      <c r="G11" s="1"/>
    </row>
    <row r="12" spans="1:7" x14ac:dyDescent="0.45">
      <c r="A12" s="1"/>
      <c r="B12" s="40" t="s">
        <v>20</v>
      </c>
      <c r="C12" s="40"/>
      <c r="D12" s="40"/>
      <c r="E12" s="9">
        <f>SUM(E8:E11)</f>
        <v>3580024.4878468709</v>
      </c>
      <c r="F12" s="42" t="s">
        <v>3</v>
      </c>
      <c r="G12" s="1"/>
    </row>
    <row r="13" spans="1:7" x14ac:dyDescent="0.4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45">
      <c r="A14" s="1"/>
      <c r="B14" s="42" t="s">
        <v>12</v>
      </c>
      <c r="C14" s="42"/>
      <c r="D14" s="42"/>
      <c r="E14" s="9">
        <f>'Fane 4. Ikke-påvirkelige omk.'!C14*(1+'Fane 10. Nøgletal'!C14)^2</f>
        <v>1810082.8693563133</v>
      </c>
      <c r="F14" s="42" t="s">
        <v>3</v>
      </c>
      <c r="G14" s="1"/>
    </row>
    <row r="15" spans="1:7" ht="15" customHeight="1" x14ac:dyDescent="0.45">
      <c r="A15" s="1"/>
      <c r="B15" s="41" t="s">
        <v>42</v>
      </c>
      <c r="C15" s="41"/>
      <c r="D15" s="41"/>
      <c r="E15" s="41"/>
      <c r="F15" s="41"/>
      <c r="G15" s="1"/>
    </row>
    <row r="16" spans="1:7" ht="15" customHeight="1" x14ac:dyDescent="0.45">
      <c r="A16" s="1"/>
      <c r="B16" s="29" t="s">
        <v>39</v>
      </c>
      <c r="C16" s="38"/>
      <c r="D16" s="38"/>
      <c r="E16" s="8">
        <f>'Fane 7.2. Engangstillæg'!C27</f>
        <v>0</v>
      </c>
      <c r="F16" s="38" t="s">
        <v>3</v>
      </c>
      <c r="G16" s="1"/>
    </row>
    <row r="17" spans="1:7" ht="15" customHeight="1" x14ac:dyDescent="0.45">
      <c r="A17" s="1"/>
      <c r="B17" s="29" t="s">
        <v>40</v>
      </c>
      <c r="C17" s="38"/>
      <c r="D17" s="38"/>
      <c r="E17" s="8">
        <f>'Fane 7.2. Engangstillæg'!E27</f>
        <v>0</v>
      </c>
      <c r="F17" s="38" t="s">
        <v>3</v>
      </c>
      <c r="G17" s="1"/>
    </row>
    <row r="18" spans="1:7" ht="15" customHeight="1" x14ac:dyDescent="0.45">
      <c r="A18" s="1"/>
      <c r="B18" s="52" t="s">
        <v>43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45">
      <c r="A19" s="1"/>
      <c r="B19" s="41" t="s">
        <v>85</v>
      </c>
      <c r="C19" s="41"/>
      <c r="D19" s="41"/>
      <c r="E19" s="41"/>
      <c r="F19" s="41"/>
      <c r="G19" s="1"/>
    </row>
    <row r="20" spans="1:7" ht="15" customHeight="1" x14ac:dyDescent="0.45">
      <c r="A20" s="1"/>
      <c r="B20" s="42" t="s">
        <v>86</v>
      </c>
      <c r="C20" s="42"/>
      <c r="D20" s="42"/>
      <c r="E20" s="9">
        <f>'Fane 5. Kontrol af ØR2020'!E35</f>
        <v>-72029.948845777428</v>
      </c>
      <c r="F20" s="42" t="s">
        <v>3</v>
      </c>
      <c r="G20" s="1"/>
    </row>
    <row r="21" spans="1:7" x14ac:dyDescent="0.45">
      <c r="A21" s="1"/>
      <c r="B21" s="41" t="s">
        <v>68</v>
      </c>
      <c r="C21" s="41"/>
      <c r="D21" s="41"/>
      <c r="E21" s="10">
        <f>SUM(E12,E14,E18,E20)</f>
        <v>5318077.408357406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woJy771uzSIClacan1mqA+C7pEhVBxJMVM5qs+eZIWV5s08UjlTbIDLyST98FODZZSjtjFgptoDgwUIekshPGw==" saltValue="k6lHJfnN0fNyUT/PBlJEv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45">
      <c r="A8" s="1"/>
      <c r="B8" s="38" t="s">
        <v>103</v>
      </c>
      <c r="C8" s="38"/>
      <c r="D8" s="38"/>
      <c r="E8" s="7">
        <f>'Fane 2.3. Økonomisk ramme 2024'!E12</f>
        <v>3580024.4878468709</v>
      </c>
      <c r="F8" s="38" t="s">
        <v>3</v>
      </c>
      <c r="G8" s="1"/>
    </row>
    <row r="9" spans="1:7" ht="15" customHeight="1" x14ac:dyDescent="0.45">
      <c r="A9" s="1"/>
      <c r="B9" s="38" t="s">
        <v>62</v>
      </c>
      <c r="C9" s="38"/>
      <c r="D9" s="38"/>
      <c r="E9" s="7">
        <f>-('Fane 9. Bortfald'!C30+'Fane 9. Bortfald'!E30)</f>
        <v>0</v>
      </c>
      <c r="F9" s="38" t="s">
        <v>3</v>
      </c>
      <c r="G9" s="1"/>
    </row>
    <row r="10" spans="1:7" ht="15" customHeight="1" x14ac:dyDescent="0.45">
      <c r="A10" s="1"/>
      <c r="B10" s="39" t="s">
        <v>18</v>
      </c>
      <c r="C10" s="38"/>
      <c r="D10" s="38"/>
      <c r="E10" s="8">
        <f>SUM(E8:E9)*'Fane 10. Nøgletal'!C14</f>
        <v>11814.080809894675</v>
      </c>
      <c r="F10" s="38" t="s">
        <v>3</v>
      </c>
      <c r="G10" s="1"/>
    </row>
    <row r="11" spans="1:7" ht="15" customHeight="1" x14ac:dyDescent="0.45">
      <c r="A11" s="1"/>
      <c r="B11" s="39" t="s">
        <v>54</v>
      </c>
      <c r="C11" s="38"/>
      <c r="D11" s="38"/>
      <c r="E11" s="8">
        <f>-SUM(E8:E10)*'Fane 10. Nøgletal'!C19</f>
        <v>-61061.255667165016</v>
      </c>
      <c r="F11" s="38" t="s">
        <v>3</v>
      </c>
      <c r="G11" s="1"/>
    </row>
    <row r="12" spans="1:7" x14ac:dyDescent="0.45">
      <c r="A12" s="1"/>
      <c r="B12" s="40" t="s">
        <v>20</v>
      </c>
      <c r="C12" s="40"/>
      <c r="D12" s="40"/>
      <c r="E12" s="9">
        <f>SUM(E8:E11)</f>
        <v>3530777.3129896005</v>
      </c>
      <c r="F12" s="42" t="s">
        <v>3</v>
      </c>
      <c r="G12" s="1"/>
    </row>
    <row r="13" spans="1:7" x14ac:dyDescent="0.4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45">
      <c r="A14" s="1"/>
      <c r="B14" s="42" t="s">
        <v>12</v>
      </c>
      <c r="C14" s="42"/>
      <c r="D14" s="42"/>
      <c r="E14" s="9">
        <f>'Fane 4. Ikke-påvirkelige omk.'!C14*(1+'Fane 10. Nøgletal'!C14)^3</f>
        <v>1816056.1428251893</v>
      </c>
      <c r="F14" s="42" t="s">
        <v>3</v>
      </c>
      <c r="G14" s="1"/>
    </row>
    <row r="15" spans="1:7" ht="15" customHeight="1" x14ac:dyDescent="0.45">
      <c r="A15" s="1"/>
      <c r="B15" s="41" t="s">
        <v>42</v>
      </c>
      <c r="C15" s="41"/>
      <c r="D15" s="41"/>
      <c r="E15" s="41"/>
      <c r="F15" s="41"/>
      <c r="G15" s="1"/>
    </row>
    <row r="16" spans="1:7" ht="15" customHeight="1" x14ac:dyDescent="0.45">
      <c r="A16" s="1"/>
      <c r="B16" s="29" t="s">
        <v>39</v>
      </c>
      <c r="C16" s="38"/>
      <c r="D16" s="38"/>
      <c r="E16" s="8">
        <f>'Fane 7.2. Engangstillæg'!C34</f>
        <v>0</v>
      </c>
      <c r="F16" s="38" t="s">
        <v>3</v>
      </c>
      <c r="G16" s="1"/>
    </row>
    <row r="17" spans="1:7" ht="15" customHeight="1" x14ac:dyDescent="0.45">
      <c r="A17" s="1"/>
      <c r="B17" s="29" t="s">
        <v>40</v>
      </c>
      <c r="C17" s="38"/>
      <c r="D17" s="38"/>
      <c r="E17" s="8">
        <f>'Fane 7.2. Engangstillæg'!E34</f>
        <v>0</v>
      </c>
      <c r="F17" s="38" t="s">
        <v>3</v>
      </c>
      <c r="G17" s="1"/>
    </row>
    <row r="18" spans="1:7" ht="15" customHeight="1" x14ac:dyDescent="0.45">
      <c r="A18" s="1"/>
      <c r="B18" s="52" t="s">
        <v>43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45">
      <c r="A19" s="1"/>
      <c r="B19" s="41" t="s">
        <v>85</v>
      </c>
      <c r="C19" s="41"/>
      <c r="D19" s="41"/>
      <c r="E19" s="41"/>
      <c r="F19" s="41"/>
      <c r="G19" s="1"/>
    </row>
    <row r="20" spans="1:7" ht="15" customHeight="1" x14ac:dyDescent="0.45">
      <c r="A20" s="1"/>
      <c r="B20" s="42" t="s">
        <v>86</v>
      </c>
      <c r="C20" s="42"/>
      <c r="D20" s="42"/>
      <c r="E20" s="9">
        <f>'Fane 5. Kontrol af ØR2020'!E35</f>
        <v>-72029.948845777428</v>
      </c>
      <c r="F20" s="42" t="s">
        <v>3</v>
      </c>
      <c r="G20" s="1"/>
    </row>
    <row r="21" spans="1:7" x14ac:dyDescent="0.45">
      <c r="A21" s="1"/>
      <c r="B21" s="41" t="s">
        <v>104</v>
      </c>
      <c r="C21" s="41"/>
      <c r="D21" s="41"/>
      <c r="E21" s="10">
        <f>SUM(E12,E14,E18,E20)</f>
        <v>5274803.5069690123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Jj8hYOKfeeE3PxKzYPVUmyZLZWE15GzkDw6Ku0bBZKpRfTfkw79/TgnK1BhHuTX/1nS1jAMnCBGS5vk1Vzweuw==" saltValue="dtEXeQPBBKn3PTivH/kNs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105</v>
      </c>
      <c r="C3" s="75"/>
      <c r="D3" s="75"/>
      <c r="E3" s="75"/>
      <c r="F3" s="75"/>
      <c r="G3" s="1"/>
    </row>
    <row r="4" spans="1:7" ht="29.2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126</v>
      </c>
      <c r="C8" s="41"/>
      <c r="D8" s="41"/>
      <c r="E8" s="41"/>
      <c r="F8" s="41"/>
      <c r="G8" s="1"/>
    </row>
    <row r="9" spans="1:7" x14ac:dyDescent="0.45">
      <c r="A9" s="1"/>
      <c r="B9" s="76" t="s">
        <v>23</v>
      </c>
      <c r="C9" s="76"/>
      <c r="D9" s="76"/>
      <c r="E9" s="7">
        <v>3665191.2422643509</v>
      </c>
      <c r="F9" s="38" t="s">
        <v>3</v>
      </c>
      <c r="G9" s="1"/>
    </row>
    <row r="10" spans="1:7" x14ac:dyDescent="0.45">
      <c r="A10" s="1"/>
      <c r="B10" s="77" t="s">
        <v>128</v>
      </c>
      <c r="C10" s="77"/>
      <c r="D10" s="77"/>
      <c r="E10" s="7">
        <v>52536.956276313205</v>
      </c>
      <c r="F10" s="38" t="s">
        <v>3</v>
      </c>
      <c r="G10" s="1"/>
    </row>
    <row r="11" spans="1:7" x14ac:dyDescent="0.45">
      <c r="A11" s="1"/>
      <c r="B11" s="77" t="s">
        <v>60</v>
      </c>
      <c r="C11" s="77"/>
      <c r="D11" s="77"/>
      <c r="E11" s="7">
        <v>0</v>
      </c>
      <c r="F11" s="38" t="s">
        <v>3</v>
      </c>
      <c r="G11" s="1"/>
    </row>
    <row r="12" spans="1:7" x14ac:dyDescent="0.45">
      <c r="A12" s="1"/>
      <c r="B12" s="77" t="s">
        <v>65</v>
      </c>
      <c r="C12" s="77"/>
      <c r="D12" s="77"/>
      <c r="E12" s="7">
        <v>0</v>
      </c>
      <c r="F12" s="38" t="s">
        <v>3</v>
      </c>
      <c r="G12" s="1"/>
    </row>
    <row r="13" spans="1:7" x14ac:dyDescent="0.45">
      <c r="A13" s="1"/>
      <c r="B13" s="77" t="s">
        <v>61</v>
      </c>
      <c r="C13" s="77"/>
      <c r="D13" s="77"/>
      <c r="E13" s="8">
        <v>0</v>
      </c>
      <c r="F13" s="38" t="s">
        <v>3</v>
      </c>
      <c r="G13" s="1"/>
    </row>
    <row r="14" spans="1:7" x14ac:dyDescent="0.45">
      <c r="A14" s="1"/>
      <c r="B14" s="77" t="s">
        <v>18</v>
      </c>
      <c r="C14" s="77"/>
      <c r="D14" s="77"/>
      <c r="E14" s="8">
        <f>SUM(E9:E13)*'Fane 10. Nøgletal'!C13</f>
        <v>45356.284022196109</v>
      </c>
      <c r="F14" s="38" t="s">
        <v>3</v>
      </c>
      <c r="G14" s="1"/>
    </row>
    <row r="15" spans="1:7" x14ac:dyDescent="0.45">
      <c r="A15" s="1"/>
      <c r="B15" s="77" t="s">
        <v>54</v>
      </c>
      <c r="C15" s="77"/>
      <c r="D15" s="77"/>
      <c r="E15" s="8">
        <f>-SUM(E9:E14)*'Fane 10. Nøgletal'!C19</f>
        <v>-63972.436203568635</v>
      </c>
      <c r="F15" s="38" t="s">
        <v>3</v>
      </c>
      <c r="G15" s="1"/>
    </row>
    <row r="16" spans="1:7" x14ac:dyDescent="0.45">
      <c r="A16" s="1"/>
      <c r="B16" s="79" t="s">
        <v>20</v>
      </c>
      <c r="C16" s="79"/>
      <c r="D16" s="79"/>
      <c r="E16" s="9">
        <f>SUM(E9:E15)</f>
        <v>3699112.0463592918</v>
      </c>
      <c r="F16" s="42" t="s">
        <v>3</v>
      </c>
      <c r="G16" s="1"/>
    </row>
    <row r="17" spans="1:7" x14ac:dyDescent="0.45">
      <c r="A17" s="1"/>
      <c r="B17" s="80" t="s">
        <v>12</v>
      </c>
      <c r="C17" s="80"/>
      <c r="D17" s="80"/>
      <c r="E17" s="41"/>
      <c r="F17" s="41"/>
      <c r="G17" s="1"/>
    </row>
    <row r="18" spans="1:7" x14ac:dyDescent="0.45">
      <c r="A18" s="1"/>
      <c r="B18" s="81" t="s">
        <v>12</v>
      </c>
      <c r="C18" s="81"/>
      <c r="D18" s="81"/>
      <c r="E18" s="9">
        <v>1802243.90703924</v>
      </c>
      <c r="F18" s="42" t="s">
        <v>3</v>
      </c>
      <c r="G18" s="1"/>
    </row>
    <row r="19" spans="1:7" ht="15.4" customHeight="1" x14ac:dyDescent="0.45">
      <c r="A19" s="1"/>
      <c r="B19" s="41" t="s">
        <v>42</v>
      </c>
      <c r="C19" s="41"/>
      <c r="D19" s="41"/>
      <c r="E19" s="41"/>
      <c r="F19" s="41"/>
      <c r="G19" s="1"/>
    </row>
    <row r="20" spans="1:7" ht="15.75" customHeight="1" x14ac:dyDescent="0.45">
      <c r="A20" s="1"/>
      <c r="B20" s="82" t="s">
        <v>39</v>
      </c>
      <c r="C20" s="83"/>
      <c r="D20" s="84"/>
      <c r="E20" s="57">
        <v>0</v>
      </c>
      <c r="F20" s="32" t="s">
        <v>3</v>
      </c>
      <c r="G20" s="1"/>
    </row>
    <row r="21" spans="1:7" x14ac:dyDescent="0.45">
      <c r="A21" s="1"/>
      <c r="B21" s="82" t="s">
        <v>40</v>
      </c>
      <c r="C21" s="83"/>
      <c r="D21" s="84"/>
      <c r="E21" s="57">
        <v>0</v>
      </c>
      <c r="F21" s="32" t="s">
        <v>3</v>
      </c>
      <c r="G21" s="1"/>
    </row>
    <row r="22" spans="1:7" x14ac:dyDescent="0.45">
      <c r="A22" s="1"/>
      <c r="B22" s="85" t="s">
        <v>43</v>
      </c>
      <c r="C22" s="86"/>
      <c r="D22" s="87"/>
      <c r="E22" s="9">
        <v>0</v>
      </c>
      <c r="F22" s="9" t="s">
        <v>3</v>
      </c>
      <c r="G22" s="1"/>
    </row>
    <row r="23" spans="1:7" ht="15.75" customHeight="1" x14ac:dyDescent="0.45">
      <c r="A23" s="1"/>
      <c r="B23" s="41" t="s">
        <v>85</v>
      </c>
      <c r="C23" s="41"/>
      <c r="D23" s="41"/>
      <c r="E23" s="41"/>
      <c r="F23" s="41"/>
      <c r="G23" s="1"/>
    </row>
    <row r="24" spans="1:7" x14ac:dyDescent="0.45">
      <c r="A24" s="1"/>
      <c r="B24" s="52" t="s">
        <v>31</v>
      </c>
      <c r="C24" s="40"/>
      <c r="D24" s="40"/>
      <c r="E24" s="9">
        <v>46994.305011371966</v>
      </c>
      <c r="F24" s="42" t="s">
        <v>3</v>
      </c>
      <c r="G24" s="1"/>
    </row>
    <row r="25" spans="1:7" x14ac:dyDescent="0.45">
      <c r="A25" s="1"/>
      <c r="B25" s="52" t="s">
        <v>86</v>
      </c>
      <c r="C25" s="40"/>
      <c r="D25" s="40"/>
      <c r="E25" s="9">
        <v>-28152.3283333336</v>
      </c>
      <c r="F25" s="42" t="s">
        <v>3</v>
      </c>
      <c r="G25" s="1"/>
    </row>
    <row r="26" spans="1:7" ht="15" customHeight="1" x14ac:dyDescent="0.45">
      <c r="A26" s="1"/>
      <c r="B26" s="41" t="s">
        <v>25</v>
      </c>
      <c r="C26" s="41"/>
      <c r="D26" s="41"/>
      <c r="E26" s="10">
        <f>E16+E18+E22+E24+E25</f>
        <v>5520197.9300765693</v>
      </c>
      <c r="F26" s="11" t="s">
        <v>3</v>
      </c>
      <c r="G26" s="1"/>
    </row>
    <row r="27" spans="1:7" ht="27" customHeight="1" x14ac:dyDescent="0.45">
      <c r="A27" s="1"/>
      <c r="B27" s="78" t="s">
        <v>120</v>
      </c>
      <c r="C27" s="78"/>
      <c r="D27" s="78"/>
      <c r="E27" s="78"/>
      <c r="F27" s="78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QZriGHMfy+pdoI+bUCljQUcvdliaToqStoQvAV02s9L2O9grgGqTIPHxCPXRd0yV9bb82G5BAwpTzCeQ04bB1g==" saltValue="kI+MNOawnf/NbhXeIj8xcQ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2" t="s">
        <v>106</v>
      </c>
      <c r="D9" s="42"/>
      <c r="E9" s="1"/>
      <c r="F9" s="1"/>
    </row>
    <row r="10" spans="1:6" x14ac:dyDescent="0.45">
      <c r="A10" s="1"/>
      <c r="B10" s="28" t="s">
        <v>131</v>
      </c>
      <c r="C10" s="8">
        <v>1778740</v>
      </c>
      <c r="D10" s="12" t="s">
        <v>3</v>
      </c>
      <c r="E10" s="1"/>
      <c r="F10" s="1"/>
    </row>
    <row r="11" spans="1:6" x14ac:dyDescent="0.45">
      <c r="A11" s="1"/>
      <c r="B11" s="28" t="s">
        <v>132</v>
      </c>
      <c r="C11" s="8">
        <v>5853</v>
      </c>
      <c r="D11" s="12" t="s">
        <v>3</v>
      </c>
      <c r="E11" s="1"/>
      <c r="F11" s="1"/>
    </row>
    <row r="12" spans="1:6" x14ac:dyDescent="0.45">
      <c r="A12" s="1"/>
      <c r="B12" s="28" t="s">
        <v>133</v>
      </c>
      <c r="C12" s="8">
        <v>1792.6</v>
      </c>
      <c r="D12" s="12" t="s">
        <v>3</v>
      </c>
      <c r="E12" s="1"/>
      <c r="F12" s="1"/>
    </row>
    <row r="13" spans="1:6" x14ac:dyDescent="0.45">
      <c r="A13" s="1"/>
      <c r="B13" s="55" t="s">
        <v>108</v>
      </c>
      <c r="C13" s="10">
        <f>SUM(C10:C12)</f>
        <v>1786385.6</v>
      </c>
      <c r="D13" s="11" t="s">
        <v>3</v>
      </c>
      <c r="E13" s="1"/>
      <c r="F13" s="1"/>
    </row>
    <row r="14" spans="1:6" x14ac:dyDescent="0.45">
      <c r="A14" s="1"/>
      <c r="B14" s="55" t="s">
        <v>109</v>
      </c>
      <c r="C14" s="10">
        <f>C13*(1+'Fane 10. Nøgletal'!C14)^2</f>
        <v>1798195.1986991845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UskoDts2Pwh1tqz6le7w1IBqfb4l/IsMcmSfbsad65UIDVvOe7hb8XEqqps9Zb8Ek96lt61tKD9pKqBAmxXQsA==" saltValue="BRMAvM/ExdyPLM8JAMDCdg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5" t="s">
        <v>152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ht="15" customHeight="1" x14ac:dyDescent="0.45">
      <c r="A5" s="1"/>
      <c r="B5" s="37"/>
      <c r="C5" s="37"/>
      <c r="D5" s="37"/>
      <c r="E5" s="37"/>
      <c r="F5" s="37"/>
      <c r="G5" s="1"/>
    </row>
    <row r="6" spans="1:7" ht="15" customHeight="1" x14ac:dyDescent="0.45">
      <c r="A6" s="1"/>
      <c r="B6" s="37"/>
      <c r="C6" s="37"/>
      <c r="D6" s="37"/>
      <c r="E6" s="37"/>
      <c r="F6" s="37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135</v>
      </c>
      <c r="C8" s="89"/>
      <c r="D8" s="89"/>
      <c r="E8" s="89"/>
      <c r="F8" s="90"/>
      <c r="G8" s="1"/>
    </row>
    <row r="9" spans="1:7" x14ac:dyDescent="0.45">
      <c r="A9" s="1"/>
      <c r="B9" s="91" t="s">
        <v>136</v>
      </c>
      <c r="C9" s="92"/>
      <c r="D9" s="93"/>
      <c r="E9" s="8">
        <v>48547.343333332799</v>
      </c>
      <c r="F9" s="12" t="s">
        <v>3</v>
      </c>
      <c r="G9" s="1"/>
    </row>
    <row r="10" spans="1:7" x14ac:dyDescent="0.45">
      <c r="A10" s="1"/>
      <c r="B10" s="91" t="s">
        <v>137</v>
      </c>
      <c r="C10" s="92"/>
      <c r="D10" s="93"/>
      <c r="E10" s="8">
        <v>-164590.94932282344</v>
      </c>
      <c r="F10" s="12" t="s">
        <v>3</v>
      </c>
      <c r="G10" s="1"/>
    </row>
    <row r="11" spans="1:7" x14ac:dyDescent="0.45">
      <c r="A11" s="1"/>
      <c r="B11" s="91" t="s">
        <v>138</v>
      </c>
      <c r="C11" s="92"/>
      <c r="D11" s="93"/>
      <c r="E11" s="8">
        <v>59738.98884520866</v>
      </c>
      <c r="F11" s="12" t="s">
        <v>3</v>
      </c>
      <c r="G11" s="1"/>
    </row>
    <row r="12" spans="1:7" x14ac:dyDescent="0.45">
      <c r="A12" s="1"/>
      <c r="B12" s="55"/>
      <c r="C12" s="22"/>
      <c r="D12" s="22"/>
      <c r="E12" s="22"/>
      <c r="F12" s="56"/>
      <c r="G12" s="1"/>
    </row>
    <row r="13" spans="1:7" ht="51.75" customHeight="1" x14ac:dyDescent="0.45">
      <c r="A13" s="1"/>
      <c r="B13" s="94" t="s">
        <v>139</v>
      </c>
      <c r="C13" s="95"/>
      <c r="D13" s="95"/>
      <c r="E13" s="95"/>
      <c r="F13" s="96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140</v>
      </c>
      <c r="C15" s="89"/>
      <c r="D15" s="89"/>
      <c r="E15" s="89"/>
      <c r="F15" s="90"/>
      <c r="G15" s="1"/>
    </row>
    <row r="16" spans="1:7" x14ac:dyDescent="0.45">
      <c r="A16" s="1"/>
      <c r="B16" s="91" t="s">
        <v>141</v>
      </c>
      <c r="C16" s="92"/>
      <c r="D16" s="93"/>
      <c r="E16" s="8">
        <v>-28152.3283333336</v>
      </c>
      <c r="F16" s="12" t="s">
        <v>3</v>
      </c>
      <c r="G16" s="1"/>
    </row>
    <row r="17" spans="1:7" x14ac:dyDescent="0.45">
      <c r="A17" s="1"/>
      <c r="B17" s="91" t="s">
        <v>142</v>
      </c>
      <c r="C17" s="92"/>
      <c r="D17" s="93"/>
      <c r="E17" s="8">
        <v>-28152.3283333336</v>
      </c>
      <c r="F17" s="12" t="s">
        <v>3</v>
      </c>
      <c r="G17" s="1"/>
    </row>
    <row r="18" spans="1:7" x14ac:dyDescent="0.45">
      <c r="A18" s="1"/>
      <c r="B18" s="55"/>
      <c r="C18" s="22"/>
      <c r="D18" s="22"/>
      <c r="E18" s="22"/>
      <c r="F18" s="56"/>
      <c r="G18" s="1"/>
    </row>
    <row r="19" spans="1:7" ht="29.25" customHeight="1" x14ac:dyDescent="0.45">
      <c r="A19" s="1"/>
      <c r="B19" s="94" t="s">
        <v>143</v>
      </c>
      <c r="C19" s="95"/>
      <c r="D19" s="95"/>
      <c r="E19" s="95"/>
      <c r="F19" s="96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6" t="s">
        <v>122</v>
      </c>
      <c r="C21" s="47"/>
      <c r="D21" s="47"/>
      <c r="E21" s="47"/>
      <c r="F21" s="48"/>
      <c r="G21" s="1"/>
    </row>
    <row r="22" spans="1:7" x14ac:dyDescent="0.45">
      <c r="A22" s="1"/>
      <c r="B22" s="49" t="s">
        <v>123</v>
      </c>
      <c r="C22" s="50"/>
      <c r="D22" s="51"/>
      <c r="E22" s="8">
        <v>4969242.6846168907</v>
      </c>
      <c r="F22" s="12" t="s">
        <v>3</v>
      </c>
      <c r="G22" s="1"/>
    </row>
    <row r="23" spans="1:7" x14ac:dyDescent="0.45">
      <c r="A23" s="1"/>
      <c r="B23" s="49" t="s">
        <v>124</v>
      </c>
      <c r="C23" s="50"/>
      <c r="D23" s="51"/>
      <c r="E23" s="8">
        <v>5257362.4800000004</v>
      </c>
      <c r="F23" s="12" t="s">
        <v>3</v>
      </c>
      <c r="G23" s="1"/>
    </row>
    <row r="24" spans="1:7" x14ac:dyDescent="0.45">
      <c r="A24" s="1"/>
      <c r="B24" s="49" t="s">
        <v>30</v>
      </c>
      <c r="C24" s="50"/>
      <c r="D24" s="51"/>
      <c r="E24" s="8">
        <v>0</v>
      </c>
      <c r="F24" s="12" t="s">
        <v>3</v>
      </c>
      <c r="G24" s="1"/>
    </row>
    <row r="25" spans="1:7" x14ac:dyDescent="0.45">
      <c r="A25" s="1"/>
      <c r="B25" s="43" t="s">
        <v>125</v>
      </c>
      <c r="C25" s="44"/>
      <c r="D25" s="45"/>
      <c r="E25" s="34">
        <f>E22-(E23-E24)</f>
        <v>-288119.79538310971</v>
      </c>
      <c r="F25" s="15" t="s">
        <v>3</v>
      </c>
      <c r="G25" s="1"/>
    </row>
    <row r="26" spans="1:7" x14ac:dyDescent="0.45">
      <c r="A26" s="1"/>
      <c r="B26" s="55"/>
      <c r="C26" s="22"/>
      <c r="D26" s="22"/>
      <c r="E26" s="22"/>
      <c r="F26" s="56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144</v>
      </c>
      <c r="C28" s="89"/>
      <c r="D28" s="89"/>
      <c r="E28" s="89"/>
      <c r="F28" s="90"/>
      <c r="G28" s="1"/>
    </row>
    <row r="29" spans="1:7" x14ac:dyDescent="0.45">
      <c r="A29" s="1"/>
      <c r="B29" s="85" t="s">
        <v>145</v>
      </c>
      <c r="C29" s="86"/>
      <c r="D29" s="87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146</v>
      </c>
      <c r="C32" s="89"/>
      <c r="D32" s="89"/>
      <c r="E32" s="89"/>
      <c r="F32" s="90"/>
      <c r="G32" s="1"/>
    </row>
    <row r="33" spans="1:7" x14ac:dyDescent="0.45">
      <c r="A33" s="1"/>
      <c r="B33" s="101" t="s">
        <v>85</v>
      </c>
      <c r="C33" s="102"/>
      <c r="D33" s="103"/>
      <c r="E33" s="8">
        <f>IF(AND(SUM(E9:E11)&gt;0,E25&lt;0,ABS(SUM(E9:E11))&lt;ABS(E25)),(SUM(E9:E11)-ABS(E25)),IF(AND(SUM(E9:E11)&lt;0,E25&lt;0),E25,0))</f>
        <v>-288119.79538310971</v>
      </c>
      <c r="F33" s="12" t="s">
        <v>3</v>
      </c>
      <c r="G33" s="1"/>
    </row>
    <row r="34" spans="1:7" x14ac:dyDescent="0.45">
      <c r="A34" s="1"/>
      <c r="B34" s="101" t="s">
        <v>55</v>
      </c>
      <c r="C34" s="102"/>
      <c r="D34" s="103"/>
      <c r="E34" s="8">
        <v>4</v>
      </c>
      <c r="F34" s="12" t="s">
        <v>19</v>
      </c>
      <c r="G34" s="1"/>
    </row>
    <row r="35" spans="1:7" x14ac:dyDescent="0.45">
      <c r="A35" s="1"/>
      <c r="B35" s="100" t="s">
        <v>147</v>
      </c>
      <c r="C35" s="100"/>
      <c r="D35" s="100"/>
      <c r="E35" s="9">
        <f>E33/E34</f>
        <v>-72029.948845777428</v>
      </c>
      <c r="F35" s="15" t="s">
        <v>3</v>
      </c>
      <c r="G35" s="1"/>
    </row>
    <row r="36" spans="1:7" x14ac:dyDescent="0.45">
      <c r="A36" s="1"/>
      <c r="B36" s="97"/>
      <c r="C36" s="98"/>
      <c r="D36" s="98"/>
      <c r="E36" s="98"/>
      <c r="F36" s="9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yuImAWaPXgiLd21U9ZtwEpuu0w047Wpg496kFDwaYItkKlP7zgTUC9vfvsx6Nuh6TbeCw9nNjPtwADDo2CJ+QA==" saltValue="sqPCBq64uriu2NCmYuO3vw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5:D35"/>
    <mergeCell ref="B34:D34"/>
    <mergeCell ref="B33:D33"/>
    <mergeCell ref="B32:F32"/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2" t="s">
        <v>2</v>
      </c>
      <c r="F9" s="42" t="s">
        <v>11</v>
      </c>
      <c r="G9" s="42" t="s">
        <v>27</v>
      </c>
      <c r="H9" s="54"/>
      <c r="I9" s="1"/>
    </row>
    <row r="10" spans="1:9" x14ac:dyDescent="0.45">
      <c r="A10" s="1"/>
      <c r="B10" s="35" t="s">
        <v>151</v>
      </c>
      <c r="C10" s="36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ilduk48Y+zxis3IqmvarKTF7hefuMWpcli+0wlRk4619wmsc1tAouDuEsZ6Nw2ZVgnWDyX4gD0GY245nZ0rI3A==" saltValue="ezJEINdhSO/K6MsVDGFZdQ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2021-08-20T08:47:35Z</dcterms:modified>
</cp:coreProperties>
</file>