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BRØNDBY AS (S011)\ØR2024\"/>
    </mc:Choice>
  </mc:AlternateContent>
  <xr:revisionPtr revIDLastSave="0" documentId="13_ncr:1_{E082E378-9926-41FC-9174-05659AEDF789}" xr6:coauthVersionLast="36" xr6:coauthVersionMax="36" xr10:uidLastSave="{00000000-0000-0000-0000-000000000000}"/>
  <bookViews>
    <workbookView xWindow="3120" yWindow="990" windowWidth="12750" windowHeight="4620" tabRatio="1000"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C19" i="2"/>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<sst xmlns="http://schemas.openxmlformats.org/spreadsheetml/2006/main" count="653" uniqueCount="289">
  <si>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</si>
  <si>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</si>
  <si>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</si>
  <si>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</si>
  <si>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</si>
  <si>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</si>
  <si>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</si>
  <si>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</si>
  <si>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</si>
  <si>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</si>
  <si>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</si>
  <si>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</si>
  <si>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</si>
  <si>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</si>
  <si>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</si>
  <si>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</si>
  <si>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</si>
  <si>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</si>
  <si>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</si>
  <si>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</si>
  <si>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</si>
  <si>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</si>
  <si>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</si>
  <si>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</si>
  <si>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</si>
  <si>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</si>
  <si>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</si>
  <si>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</si>
  <si>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</si>
  <si>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</si>
  <si>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</si>
  <si>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</si>
  <si>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</si>
  <si>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</si>
  <si>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</si>
  <si>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</si>
  <si>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</si>
  <si>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</si>
  <si>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</si>
  <si>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</si>
  <si>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</si>
  <si>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</si>
  <si>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</si>
  <si>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</si>
  <si>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</si>
  <si>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</si>
  <si>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</si>
  <si>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</si>
  <si>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</si>
  <si>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</si>
  <si>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</si>
  <si>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</si>
  <si>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</si>
  <si>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</si>
  <si>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</si>
  <si>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</si>
  <si>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</si>
  <si>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</si>
  <si>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</si>
  <si>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</si>
  <si>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</si>
  <si>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</si>
  <si>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</si>
  <si>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</si>
  <si>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</si>
  <si>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</si>
  <si>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</si>
  <si>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</si>
  <si>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</si>
  <si>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</si>
  <si>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</si>
  <si>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</si>
  <si>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</si>
  <si>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</si>
  <si>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</si>
  <si>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</si>
  <si>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</si>
  <si>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</si>
  <si>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</si>
  <si>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</si>
  <si>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</si>
  <si>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</si>
  <si>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</si>
  <si>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</si>
  <si>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</si>
  <si>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</si>
  <si>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</si>
  <si>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</si>
  <si>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</si>
  <si>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</si>
  <si>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</si>
  <si>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</si>
  <si>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</si>
  <si>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</si>
  <si>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</si>
  <si>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</si>
  <si>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</si>
  <si>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</si>
  <si>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</si>
  <si>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</si>
  <si>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</si>
  <si>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</si>
  <si>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</si>
  <si>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</si>
  <si>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</si>
  <si>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</si>
  <si>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</si>
  <si>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</si>
  <si>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</si>
  <si>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</si>
  <si>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</si>
  <si>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</si>
  <si>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</si>
  <si>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</si>
  <si>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</si>
  <si>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</si>
  <si>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</si>
  <si>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</si>
  <si>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</si>
  <si>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</si>
  <si>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</si>
  <si>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</si>
  <si>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</si>
  <si>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</si>
  <si>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</si>
  <si>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</si>
  <si>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</si>
  <si>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</si>
  <si>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</si>
  <si>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</si>
  <si>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</si>
  <si>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</si>
  <si>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</si>
  <si>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</si>
  <si>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</si>
  <si>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</si>
  <si>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</si>
  <si>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</si>
  <si>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</si>
  <si>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</si>
  <si>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</si>
  <si>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</si>
  <si>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</si>
  <si>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</si>
  <si>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</si>
  <si>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</si>
  <si>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</si>
  <si>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</si>
  <si>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</si>
  <si>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</si>
  <si>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</si>
  <si>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</si>
  <si>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</si>
  <si>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</si>
  <si>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</si>
  <si>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</si>
  <si>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</si>
  <si>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</si>
  <si>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</si>
  <si>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</si>
  <si>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</si>
  <si>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</si>
  <si>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</si>
  <si>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</si>
  <si>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</si>
  <si>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</si>
  <si>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</si>
  <si>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</si>
  <si>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</si>
  <si>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</si>
  <si>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</si>
  <si>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</si>
  <si>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</si>
  <si>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</si>
  <si>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</si>
  <si>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</si>
  <si>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</si>
  <si>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</si>
  <si>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</si>
  <si>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</si>
  <si>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</si>
  <si>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</si>
  <si>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</si>
  <si>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</si>
  <si>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</si>
  <si>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</si>
  <si>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</si>
  <si>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</si>
  <si>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</si>
  <si>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</si>
  <si>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</si>
  <si>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</si>
  <si>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</si>
  <si>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</si>
  <si>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</si>
  <si>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</si>
  <si>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</si>
  <si>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</si>
  <si>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</si>
  <si>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</si>
  <si>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</si>
  <si>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</si>
  <si>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</si>
  <si>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</si>
  <si>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</si>
  <si>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</si>
  <si>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</si>
  <si>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</si>
  <si>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</si>
  <si>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</si>
  <si>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</si>
  <si>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</si>
  <si>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</si>
  <si>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</si>
  <si>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</si>
  <si>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</si>
  <si>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</si>
  <si>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</si>
  <si>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</si>
  <si>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</si>
  <si>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</si>
  <si>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</si>
  <si>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</si>
  <si>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</si>
  <si>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</si>
  <si>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</si>
  <si>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</si>
  <si>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</si>
  <si>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</si>
  <si>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</si>
  <si>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</si>
  <si>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</si>
  <si>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</si>
  <si>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</si>
  <si>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</si>
  <si>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</si>
  <si>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</si>
  <si>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</si>
  <si>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</si>
  <si>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</si>
  <si>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</si>
  <si>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</si>
  <si>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</si>
  <si>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</si>
  <si>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</si>
  <si>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</si>
  <si>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</si>
  <si>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</si>
  <si>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</si>
  <si>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</si>
  <si>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</si>
  <si>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</si>
  <si>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</si>
  <si>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</si>
  <si>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</si>
  <si>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</si>
  <si>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</si>
  <si>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</si>
  <si>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</si>
  <si>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</si>
  <si>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</si>
  <si>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</si>
  <si>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</si>
  <si>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</si>
  <si>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</si>
  <si>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</si>
  <si>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</si>
  <si>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</si>
  <si>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</si>
  <si>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</si>
  <si>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</si>
  <si>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</si>
  <si>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</si>
  <si>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</si>
  <si>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</si>
  <si>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</si>
  <si>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</si>
  <si>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</si>
  <si>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</si>
  <si>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</si>
  <si>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</si>
  <si>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</si>
  <si>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</si>
  <si>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</si>
  <si>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</si>
  <si>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</si>
  <si>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</si>
  <si>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Øget antal forbrugere</t>
  </si>
  <si>
    <t>Ledningsomlægning pga Letbanen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</si>
</sst>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0" fontId="0" fillId="0" borderId="1" xfId="0"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07" t="s">
        <v>252</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08" t="s">
        <v>196</v>
      </c>
      <c r="E13" s="109"/>
      <c r="F13" s="109"/>
      <c r="G13" s="110"/>
      <c r="H13" s="5"/>
      <c r="I13" s="1"/>
    </row>
    <row r="14" spans="1:9" x14ac:dyDescent="0.25">
      <c r="A14" s="1"/>
      <c r="B14" s="1"/>
      <c r="C14" s="6" t="s">
        <v>16</v>
      </c>
      <c r="D14" s="99" t="s">
        <v>197</v>
      </c>
      <c r="E14" s="100"/>
      <c r="F14" s="100"/>
      <c r="G14" s="101"/>
      <c r="H14" s="5"/>
      <c r="I14" s="1"/>
    </row>
    <row r="15" spans="1:9" x14ac:dyDescent="0.25">
      <c r="A15" s="1"/>
      <c r="B15" s="1"/>
      <c r="C15" s="6" t="s">
        <v>31</v>
      </c>
      <c r="D15" s="99" t="s">
        <v>262</v>
      </c>
      <c r="E15" s="100"/>
      <c r="F15" s="100"/>
      <c r="G15" s="101"/>
      <c r="H15" s="5"/>
      <c r="I15" s="1"/>
    </row>
    <row r="16" spans="1:9" x14ac:dyDescent="0.25">
      <c r="A16" s="1"/>
      <c r="B16" s="1"/>
      <c r="C16" s="6" t="s">
        <v>32</v>
      </c>
      <c r="D16" s="99" t="s">
        <v>263</v>
      </c>
      <c r="E16" s="100"/>
      <c r="F16" s="100"/>
      <c r="G16" s="101"/>
      <c r="H16" s="5"/>
      <c r="I16" s="1"/>
    </row>
    <row r="17" spans="1:9" x14ac:dyDescent="0.25">
      <c r="A17" s="1"/>
      <c r="B17" s="1"/>
      <c r="C17" s="6" t="s">
        <v>101</v>
      </c>
      <c r="D17" s="99" t="s">
        <v>198</v>
      </c>
      <c r="E17" s="100"/>
      <c r="F17" s="100"/>
      <c r="G17" s="101"/>
      <c r="H17" s="5"/>
      <c r="I17" s="1"/>
    </row>
    <row r="18" spans="1:9" x14ac:dyDescent="0.25">
      <c r="A18" s="1"/>
      <c r="B18" s="1"/>
      <c r="C18" s="6" t="s">
        <v>88</v>
      </c>
      <c r="D18" s="96" t="s">
        <v>79</v>
      </c>
      <c r="E18" s="97"/>
      <c r="F18" s="97"/>
      <c r="G18" s="98"/>
      <c r="H18" s="5"/>
      <c r="I18" s="1"/>
    </row>
    <row r="19" spans="1:9" x14ac:dyDescent="0.25">
      <c r="A19" s="1"/>
      <c r="B19" s="1"/>
      <c r="C19" s="6" t="s">
        <v>89</v>
      </c>
      <c r="D19" s="96" t="s">
        <v>80</v>
      </c>
      <c r="E19" s="97"/>
      <c r="F19" s="97"/>
      <c r="G19" s="98"/>
      <c r="H19" s="5"/>
      <c r="I19" s="1"/>
    </row>
    <row r="20" spans="1:9" x14ac:dyDescent="0.25">
      <c r="A20" s="1"/>
      <c r="B20" s="1"/>
      <c r="C20" s="6" t="s">
        <v>7</v>
      </c>
      <c r="D20" s="96" t="s">
        <v>10</v>
      </c>
      <c r="E20" s="97"/>
      <c r="F20" s="97"/>
      <c r="G20" s="98"/>
      <c r="H20" s="5"/>
      <c r="I20" s="1"/>
    </row>
    <row r="21" spans="1:9" x14ac:dyDescent="0.25">
      <c r="A21" s="1"/>
      <c r="B21" s="1"/>
      <c r="C21" s="6" t="s">
        <v>90</v>
      </c>
      <c r="D21" s="103" t="s">
        <v>12</v>
      </c>
      <c r="E21" s="104"/>
      <c r="F21" s="104"/>
      <c r="G21" s="105"/>
      <c r="H21" s="5"/>
      <c r="I21" s="1"/>
    </row>
    <row r="22" spans="1:9" x14ac:dyDescent="0.25">
      <c r="A22" s="1"/>
      <c r="B22" s="1"/>
      <c r="C22" s="6" t="s">
        <v>71</v>
      </c>
      <c r="D22" s="90" t="s">
        <v>199</v>
      </c>
      <c r="E22" s="91"/>
      <c r="F22" s="91"/>
      <c r="G22" s="92"/>
      <c r="H22" s="5"/>
      <c r="I22" s="1"/>
    </row>
    <row r="23" spans="1:9" x14ac:dyDescent="0.25">
      <c r="A23" s="1"/>
      <c r="B23" s="1"/>
      <c r="C23" s="6" t="s">
        <v>8</v>
      </c>
      <c r="D23" s="90" t="s">
        <v>181</v>
      </c>
      <c r="E23" s="91"/>
      <c r="F23" s="91"/>
      <c r="G23" s="92"/>
      <c r="H23" s="5"/>
      <c r="I23" s="1"/>
    </row>
    <row r="24" spans="1:9" x14ac:dyDescent="0.25">
      <c r="A24" s="1"/>
      <c r="B24" s="1"/>
      <c r="C24" s="6" t="s">
        <v>9</v>
      </c>
      <c r="D24" s="90" t="s">
        <v>200</v>
      </c>
      <c r="E24" s="91"/>
      <c r="F24" s="91"/>
      <c r="G24" s="92"/>
      <c r="H24" s="5"/>
      <c r="I24" s="1"/>
    </row>
    <row r="25" spans="1:9" x14ac:dyDescent="0.25">
      <c r="A25" s="1"/>
      <c r="B25" s="1"/>
      <c r="C25" s="6" t="s">
        <v>166</v>
      </c>
      <c r="D25" s="90" t="s">
        <v>160</v>
      </c>
      <c r="E25" s="91"/>
      <c r="F25" s="91"/>
      <c r="G25" s="92"/>
      <c r="H25" s="1"/>
      <c r="I25" s="1"/>
    </row>
    <row r="26" spans="1:9" x14ac:dyDescent="0.25">
      <c r="A26" s="1"/>
      <c r="B26" s="1"/>
      <c r="C26" s="6" t="s">
        <v>167</v>
      </c>
      <c r="D26" s="90" t="s">
        <v>72</v>
      </c>
      <c r="E26" s="91"/>
      <c r="F26" s="91"/>
      <c r="G26" s="92"/>
      <c r="H26" s="1"/>
      <c r="I26" s="1"/>
    </row>
    <row r="27" spans="1:9" x14ac:dyDescent="0.25">
      <c r="A27" s="1"/>
      <c r="B27" s="1"/>
      <c r="C27" s="6" t="s">
        <v>168</v>
      </c>
      <c r="D27" s="90" t="s">
        <v>73</v>
      </c>
      <c r="E27" s="91"/>
      <c r="F27" s="91"/>
      <c r="G27" s="92"/>
      <c r="H27" s="1"/>
      <c r="I27" s="1"/>
    </row>
    <row r="28" spans="1:9" x14ac:dyDescent="0.25">
      <c r="A28" s="1"/>
      <c r="B28" s="1"/>
      <c r="C28" s="6" t="s">
        <v>15</v>
      </c>
      <c r="D28" s="90" t="s">
        <v>74</v>
      </c>
      <c r="E28" s="91"/>
      <c r="F28" s="91"/>
      <c r="G28" s="92"/>
      <c r="H28" s="1"/>
      <c r="I28" s="1"/>
    </row>
    <row r="29" spans="1:9" x14ac:dyDescent="0.25">
      <c r="A29" s="1"/>
      <c r="B29" s="1"/>
      <c r="C29" s="6" t="s">
        <v>34</v>
      </c>
      <c r="D29" s="90" t="s">
        <v>114</v>
      </c>
      <c r="E29" s="91"/>
      <c r="F29" s="91"/>
      <c r="G29" s="92"/>
      <c r="H29" s="1"/>
      <c r="I29" s="1"/>
    </row>
    <row r="30" spans="1:9" x14ac:dyDescent="0.25">
      <c r="A30" s="1"/>
      <c r="B30" s="1"/>
      <c r="C30" s="6" t="s">
        <v>35</v>
      </c>
      <c r="D30" s="90" t="s">
        <v>33</v>
      </c>
      <c r="E30" s="91"/>
      <c r="F30" s="91"/>
      <c r="G30" s="92"/>
      <c r="H30" s="1"/>
      <c r="I30" s="1"/>
    </row>
    <row r="31" spans="1:9" x14ac:dyDescent="0.25">
      <c r="A31" s="1"/>
      <c r="B31" s="1"/>
      <c r="C31" s="6" t="s">
        <v>169</v>
      </c>
      <c r="D31" s="93" t="s">
        <v>87</v>
      </c>
      <c r="E31" s="94"/>
      <c r="F31" s="94"/>
      <c r="G31" s="9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H486CPcLk+d2E3jRPaJuJQ83ZsWzJd6ulQhog8H2tFpzDx2qSMBD8+JKHP+o/ZKZn6BF8d7K8/Y1Em/qjWIpow==" saltValue="dIrZhYwx4GNDCb93o7U78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224</v>
      </c>
      <c r="C8" s="116"/>
      <c r="D8" s="117"/>
      <c r="E8" s="1"/>
      <c r="F8" s="1"/>
    </row>
    <row r="9" spans="1:6" ht="15" customHeight="1" x14ac:dyDescent="0.25">
      <c r="A9" s="1"/>
      <c r="B9" s="27" t="s">
        <v>29</v>
      </c>
      <c r="C9" s="50" t="s">
        <v>225</v>
      </c>
      <c r="D9" s="11"/>
      <c r="E9" s="1"/>
      <c r="F9" s="1"/>
    </row>
    <row r="10" spans="1:6" ht="15" customHeight="1" x14ac:dyDescent="0.25">
      <c r="A10" s="1"/>
      <c r="B10" s="82" t="s">
        <v>272</v>
      </c>
      <c r="C10" s="9">
        <v>94021</v>
      </c>
      <c r="D10" s="14" t="s">
        <v>3</v>
      </c>
      <c r="E10" s="1"/>
      <c r="F10" s="1"/>
    </row>
    <row r="11" spans="1:6" ht="26.25" x14ac:dyDescent="0.25">
      <c r="A11" s="1"/>
      <c r="B11" s="29" t="s">
        <v>273</v>
      </c>
      <c r="C11" s="9">
        <v>17855919</v>
      </c>
      <c r="D11" s="14" t="s">
        <v>3</v>
      </c>
      <c r="E11" s="1"/>
      <c r="F11" s="1"/>
    </row>
    <row r="12" spans="1:6" x14ac:dyDescent="0.25">
      <c r="A12" s="1"/>
      <c r="B12" s="82" t="s">
        <v>274</v>
      </c>
      <c r="C12" s="9">
        <v>2025</v>
      </c>
      <c r="D12" s="14" t="s">
        <v>3</v>
      </c>
      <c r="E12" s="1"/>
      <c r="F12" s="1"/>
    </row>
    <row r="13" spans="1:6" x14ac:dyDescent="0.25">
      <c r="A13" s="1"/>
      <c r="B13" s="82"/>
      <c r="C13" s="9">
        <v>0</v>
      </c>
      <c r="D13" s="14" t="s">
        <v>3</v>
      </c>
      <c r="E13" s="1"/>
      <c r="F13" s="1"/>
    </row>
    <row r="14" spans="1:6" x14ac:dyDescent="0.25">
      <c r="A14" s="1"/>
      <c r="B14" s="82"/>
      <c r="C14" s="9">
        <v>0</v>
      </c>
      <c r="D14" s="14" t="s">
        <v>3</v>
      </c>
      <c r="E14" s="1"/>
      <c r="F14" s="1"/>
    </row>
    <row r="15" spans="1:6" x14ac:dyDescent="0.25">
      <c r="A15" s="1"/>
      <c r="B15" s="82"/>
      <c r="C15" s="9">
        <v>0</v>
      </c>
      <c r="D15" s="14" t="s">
        <v>3</v>
      </c>
      <c r="E15" s="1"/>
      <c r="F15" s="1"/>
    </row>
    <row r="16" spans="1:6" x14ac:dyDescent="0.25">
      <c r="A16" s="1"/>
      <c r="B16" s="82"/>
      <c r="C16" s="9">
        <v>0</v>
      </c>
      <c r="D16" s="14" t="s">
        <v>3</v>
      </c>
      <c r="E16" s="1"/>
      <c r="F16" s="1"/>
    </row>
    <row r="17" spans="1:6" x14ac:dyDescent="0.25">
      <c r="A17" s="1"/>
      <c r="B17" s="82"/>
      <c r="C17" s="9">
        <v>0</v>
      </c>
      <c r="D17" s="14" t="s">
        <v>3</v>
      </c>
      <c r="E17" s="1"/>
      <c r="F17" s="1"/>
    </row>
    <row r="18" spans="1:6" x14ac:dyDescent="0.25">
      <c r="A18" s="1"/>
      <c r="B18" s="82"/>
      <c r="C18" s="9">
        <v>0</v>
      </c>
      <c r="D18" s="14" t="s">
        <v>3</v>
      </c>
      <c r="E18" s="1"/>
      <c r="F18" s="1"/>
    </row>
    <row r="19" spans="1:6" x14ac:dyDescent="0.25">
      <c r="A19" s="1"/>
      <c r="B19" s="82"/>
      <c r="C19" s="9">
        <v>0</v>
      </c>
      <c r="D19" s="14" t="s">
        <v>3</v>
      </c>
      <c r="E19" s="1"/>
      <c r="F19" s="1"/>
    </row>
    <row r="20" spans="1:6" x14ac:dyDescent="0.25">
      <c r="A20" s="1"/>
      <c r="B20" s="33" t="s">
        <v>226</v>
      </c>
      <c r="C20" s="12">
        <f>SUM(C10:C19)</f>
        <v>17951965</v>
      </c>
      <c r="D20" s="13" t="s">
        <v>3</v>
      </c>
      <c r="E20" s="1"/>
      <c r="F20" s="1"/>
    </row>
    <row r="21" spans="1:6" x14ac:dyDescent="0.25">
      <c r="A21" s="1"/>
      <c r="B21" s="33" t="s">
        <v>227</v>
      </c>
      <c r="C21" s="12">
        <f>C20*(1+'Fane 15. Nøgletal'!C16)^2</f>
        <v>20970204.460777599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5" t="s">
        <v>99</v>
      </c>
      <c r="C24" s="116"/>
      <c r="D24" s="117"/>
      <c r="E24" s="1"/>
      <c r="F24" s="1"/>
    </row>
    <row r="25" spans="1:6" x14ac:dyDescent="0.25">
      <c r="A25" s="1"/>
      <c r="B25" s="82" t="s">
        <v>109</v>
      </c>
      <c r="C25" s="9">
        <v>321038</v>
      </c>
      <c r="D25" s="14" t="s">
        <v>3</v>
      </c>
      <c r="E25" s="1"/>
      <c r="F25" s="1"/>
    </row>
    <row r="26" spans="1:6" x14ac:dyDescent="0.25">
      <c r="A26" s="1"/>
      <c r="B26" s="82" t="s">
        <v>123</v>
      </c>
      <c r="C26" s="9">
        <v>321181</v>
      </c>
      <c r="D26" s="14" t="s">
        <v>3</v>
      </c>
      <c r="E26" s="1"/>
      <c r="F26" s="1"/>
    </row>
    <row r="27" spans="1:6" x14ac:dyDescent="0.25">
      <c r="A27" s="1"/>
      <c r="B27" s="82" t="s">
        <v>142</v>
      </c>
      <c r="C27" s="9">
        <v>9836</v>
      </c>
      <c r="D27" s="14" t="s">
        <v>3</v>
      </c>
      <c r="E27" s="1"/>
      <c r="F27" s="1"/>
    </row>
    <row r="28" spans="1:6" x14ac:dyDescent="0.25">
      <c r="A28" s="1"/>
      <c r="B28" s="34" t="s">
        <v>261</v>
      </c>
      <c r="C28" s="9">
        <v>9983</v>
      </c>
      <c r="D28" s="38" t="s">
        <v>3</v>
      </c>
      <c r="E28" s="1"/>
      <c r="F28" s="1"/>
    </row>
    <row r="29" spans="1:6" x14ac:dyDescent="0.25">
      <c r="A29" s="1"/>
      <c r="B29" s="115"/>
      <c r="C29" s="116"/>
      <c r="D29" s="117"/>
      <c r="E29" s="1"/>
      <c r="F29" s="1"/>
    </row>
    <row r="30" spans="1:6" x14ac:dyDescent="0.25">
      <c r="A30" s="1"/>
      <c r="B30" s="1"/>
      <c r="C30" s="1"/>
      <c r="D30" s="1"/>
      <c r="E30" s="1"/>
      <c r="F30" s="1"/>
    </row>
    <row r="31" spans="1:6" x14ac:dyDescent="0.25">
      <c r="A31" s="1"/>
      <c r="B31" s="1"/>
      <c r="C31" s="1"/>
      <c r="D31" s="1"/>
      <c r="E31" s="1"/>
      <c r="F31" s="1"/>
    </row>
    <row r="32" spans="1:6" x14ac:dyDescent="0.25">
      <c r="A32" s="1"/>
      <c r="B32" s="115" t="s">
        <v>81</v>
      </c>
      <c r="C32" s="116"/>
      <c r="D32" s="117"/>
      <c r="E32" s="1"/>
      <c r="F32" s="1"/>
    </row>
    <row r="33" spans="1:6" x14ac:dyDescent="0.25">
      <c r="A33" s="1"/>
      <c r="B33" s="82" t="s">
        <v>109</v>
      </c>
      <c r="C33" s="9">
        <v>0</v>
      </c>
      <c r="D33" s="14" t="s">
        <v>3</v>
      </c>
      <c r="E33" s="1"/>
      <c r="F33" s="1"/>
    </row>
    <row r="34" spans="1:6" x14ac:dyDescent="0.25">
      <c r="A34" s="1"/>
      <c r="B34" s="82" t="s">
        <v>123</v>
      </c>
      <c r="C34" s="9">
        <v>0</v>
      </c>
      <c r="D34" s="14" t="s">
        <v>3</v>
      </c>
      <c r="E34" s="1"/>
      <c r="F34" s="1"/>
    </row>
    <row r="35" spans="1:6" x14ac:dyDescent="0.25">
      <c r="A35" s="1"/>
      <c r="B35" s="82" t="s">
        <v>142</v>
      </c>
      <c r="C35" s="9">
        <v>0</v>
      </c>
      <c r="D35" s="14" t="s">
        <v>3</v>
      </c>
      <c r="E35" s="1"/>
      <c r="F35" s="1"/>
    </row>
    <row r="36" spans="1:6" x14ac:dyDescent="0.25">
      <c r="A36" s="1"/>
      <c r="B36" s="34" t="s">
        <v>261</v>
      </c>
      <c r="C36" s="9">
        <v>0</v>
      </c>
      <c r="D36" s="38" t="s">
        <v>3</v>
      </c>
      <c r="E36" s="1"/>
      <c r="F36" s="1"/>
    </row>
    <row r="37" spans="1:6" x14ac:dyDescent="0.25">
      <c r="A37" s="1"/>
      <c r="B37" s="115"/>
      <c r="C37" s="116"/>
      <c r="D37" s="117"/>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DY0phiOB2wUfCYXqU0v/gE4w6oWXQUMWl9rJ61xXYwHgqp1YBBOHlLo643fT/3QCJsmTOgk6QwWBgkNQofL40A==" saltValue="exyUbSZo+6xfCGM5+85HO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5EB42-D615-45C5-9C82-00FD41A08BB3}">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5" t="s">
        <v>137</v>
      </c>
      <c r="C8" s="116"/>
      <c r="D8" s="116"/>
      <c r="E8" s="116"/>
      <c r="F8" s="117"/>
      <c r="G8" s="1"/>
    </row>
    <row r="9" spans="1:7" ht="15" customHeight="1" x14ac:dyDescent="0.25">
      <c r="A9" s="1"/>
      <c r="B9" s="118" t="s">
        <v>275</v>
      </c>
      <c r="C9" s="119"/>
      <c r="D9" s="120"/>
      <c r="E9" s="9">
        <v>1933355</v>
      </c>
      <c r="F9" s="14" t="s">
        <v>3</v>
      </c>
      <c r="G9" s="1"/>
    </row>
    <row r="10" spans="1:7" ht="15" customHeight="1" x14ac:dyDescent="0.25">
      <c r="A10" s="1"/>
      <c r="B10" s="118" t="s">
        <v>143</v>
      </c>
      <c r="C10" s="119"/>
      <c r="D10" s="120"/>
      <c r="E10" s="9">
        <v>6014173</v>
      </c>
      <c r="F10" s="14" t="s">
        <v>3</v>
      </c>
      <c r="G10" s="1"/>
    </row>
    <row r="11" spans="1:7" ht="15" customHeight="1" x14ac:dyDescent="0.25">
      <c r="A11" s="1"/>
      <c r="B11" s="118" t="s">
        <v>276</v>
      </c>
      <c r="C11" s="119"/>
      <c r="D11" s="120"/>
      <c r="E11" s="9">
        <v>1057496</v>
      </c>
      <c r="F11" s="14" t="s">
        <v>3</v>
      </c>
      <c r="G11" s="1"/>
    </row>
    <row r="12" spans="1:7" x14ac:dyDescent="0.25">
      <c r="A12" s="1"/>
      <c r="B12" s="33"/>
      <c r="C12" s="28"/>
      <c r="D12" s="28"/>
      <c r="E12" s="28"/>
      <c r="F12" s="19"/>
      <c r="G12" s="1"/>
    </row>
    <row r="13" spans="1:7" ht="42" customHeight="1" x14ac:dyDescent="0.25">
      <c r="A13" s="1"/>
      <c r="B13" s="127" t="s">
        <v>277</v>
      </c>
      <c r="C13" s="128"/>
      <c r="D13" s="128"/>
      <c r="E13" s="128"/>
      <c r="F13" s="129"/>
      <c r="G13" s="1"/>
    </row>
    <row r="14" spans="1:7" ht="15" customHeight="1" x14ac:dyDescent="0.25">
      <c r="A14" s="1"/>
      <c r="B14" s="1"/>
      <c r="C14" s="1"/>
      <c r="D14" s="1"/>
      <c r="E14" s="1"/>
      <c r="F14" s="1"/>
      <c r="G14" s="1"/>
    </row>
    <row r="15" spans="1:7" x14ac:dyDescent="0.25">
      <c r="A15" s="1"/>
      <c r="B15" s="76" t="s">
        <v>278</v>
      </c>
      <c r="C15" s="77"/>
      <c r="D15" s="77"/>
      <c r="E15" s="77"/>
      <c r="F15" s="78"/>
      <c r="G15" s="1"/>
    </row>
    <row r="16" spans="1:7" x14ac:dyDescent="0.25">
      <c r="A16" s="1"/>
      <c r="B16" s="79" t="s">
        <v>279</v>
      </c>
      <c r="C16" s="80"/>
      <c r="D16" s="81"/>
      <c r="E16" s="9">
        <f>IF(E11&lt;0,E11,0)</f>
        <v>0</v>
      </c>
      <c r="F16" s="14" t="s">
        <v>3</v>
      </c>
      <c r="G16" s="1"/>
    </row>
    <row r="17" spans="1:7" x14ac:dyDescent="0.25">
      <c r="A17" s="1"/>
      <c r="B17" s="79" t="s">
        <v>280</v>
      </c>
      <c r="C17" s="80"/>
      <c r="D17" s="81"/>
      <c r="E17" s="9">
        <f>IF(SUM(E10)&gt;0,SUM(E10),0)</f>
        <v>6014173</v>
      </c>
      <c r="F17" s="14" t="s">
        <v>3</v>
      </c>
      <c r="G17" s="1"/>
    </row>
    <row r="18" spans="1:7" x14ac:dyDescent="0.25">
      <c r="A18" s="1"/>
      <c r="B18" s="83" t="s">
        <v>281</v>
      </c>
      <c r="C18" s="84"/>
      <c r="D18" s="85"/>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282</v>
      </c>
      <c r="C21" s="77"/>
      <c r="D21" s="77"/>
      <c r="E21" s="77"/>
      <c r="F21" s="78"/>
      <c r="G21" s="1"/>
    </row>
    <row r="22" spans="1:7" x14ac:dyDescent="0.25">
      <c r="A22" s="1"/>
      <c r="B22" s="79" t="s">
        <v>283</v>
      </c>
      <c r="C22" s="80"/>
      <c r="D22" s="81"/>
      <c r="E22" s="9">
        <v>47276737</v>
      </c>
      <c r="F22" s="14" t="s">
        <v>3</v>
      </c>
      <c r="G22" s="1"/>
    </row>
    <row r="23" spans="1:7" x14ac:dyDescent="0.25">
      <c r="A23" s="1"/>
      <c r="B23" s="79" t="s">
        <v>284</v>
      </c>
      <c r="C23" s="80"/>
      <c r="D23" s="81"/>
      <c r="E23" s="9">
        <v>49059341</v>
      </c>
      <c r="F23" s="14" t="s">
        <v>3</v>
      </c>
      <c r="G23" s="1"/>
    </row>
    <row r="24" spans="1:7" x14ac:dyDescent="0.25">
      <c r="A24" s="1"/>
      <c r="B24" s="79" t="s">
        <v>30</v>
      </c>
      <c r="C24" s="80"/>
      <c r="D24" s="81"/>
      <c r="E24" s="9">
        <v>0</v>
      </c>
      <c r="F24" s="14" t="s">
        <v>3</v>
      </c>
      <c r="G24" s="1"/>
    </row>
    <row r="25" spans="1:7" x14ac:dyDescent="0.25">
      <c r="A25" s="1"/>
      <c r="B25" s="83" t="s">
        <v>285</v>
      </c>
      <c r="C25" s="84"/>
      <c r="D25" s="85"/>
      <c r="E25" s="62">
        <f>E22-E23-E24</f>
        <v>-1782604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5" t="s">
        <v>286</v>
      </c>
      <c r="C28" s="116"/>
      <c r="D28" s="116"/>
      <c r="E28" s="116"/>
      <c r="F28" s="117"/>
      <c r="G28" s="1"/>
    </row>
    <row r="29" spans="1:7" x14ac:dyDescent="0.25">
      <c r="A29" s="1"/>
      <c r="B29" s="133" t="s">
        <v>116</v>
      </c>
      <c r="C29" s="134"/>
      <c r="D29" s="135"/>
      <c r="E29" s="9">
        <f>IF(E18&lt;0,IF(E25&lt;0,SUM(E18,E25),IF(E10&gt;0,SUM(E10:E11),E18)),IF(AND(E25&lt;0,SUM(E25,E11)&lt;0),IF(E11&lt;0,E25,IF(SUM(E10:E11)&gt;0,SUM(E25,E11),IF(AND(E25&lt;0,E18=0,E11&gt;0),IF(SUM(E9:E11)&gt;0,E25+E11,E25)))),0))</f>
        <v>-725108</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-362554</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9P9ONYY1ErxLySUqI34dz8cETBvkGsUZtjTJjqhgBypL7jLJPg7WXp1n36RFxM/grBbbNxp4BlSD992p1b3Vpw==" saltValue="+ZUHLzdv7hePB5ihpYonJw=="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5" t="s">
        <v>180</v>
      </c>
      <c r="C18" s="116"/>
      <c r="D18" s="116"/>
      <c r="E18" s="116"/>
      <c r="F18" s="11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fNQIDNky4319NpPCkUOjrMinnIge8QNYcsPwtMAKgJGHWAvwM6YR+7DPgytvrvcWXifIL7LWasilR3k6I57PZw==" saltValue="l8JrAZ5tJhTPauHXMJrNOQ=="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228</v>
      </c>
      <c r="C9" s="116"/>
      <c r="D9" s="116"/>
      <c r="E9" s="116"/>
      <c r="F9" s="117"/>
      <c r="G9" s="1"/>
    </row>
    <row r="10" spans="1:7" x14ac:dyDescent="0.25">
      <c r="A10" s="1"/>
      <c r="B10" s="127" t="s">
        <v>82</v>
      </c>
      <c r="C10" s="128"/>
      <c r="D10" s="129"/>
      <c r="E10" s="7">
        <v>0</v>
      </c>
      <c r="F10" s="8" t="s">
        <v>3</v>
      </c>
      <c r="G10" s="1"/>
    </row>
    <row r="11" spans="1:7" x14ac:dyDescent="0.25">
      <c r="A11" s="1"/>
      <c r="B11" s="118" t="s">
        <v>229</v>
      </c>
      <c r="C11" s="119"/>
      <c r="D11" s="120"/>
      <c r="E11" s="7">
        <v>0</v>
      </c>
      <c r="F11" s="8" t="s">
        <v>3</v>
      </c>
      <c r="G11" s="1"/>
    </row>
    <row r="12" spans="1:7" x14ac:dyDescent="0.25">
      <c r="A12" s="1"/>
      <c r="B12" s="136" t="s">
        <v>83</v>
      </c>
      <c r="C12" s="137"/>
      <c r="D12" s="138"/>
      <c r="E12" s="10">
        <f>E11-E10</f>
        <v>0</v>
      </c>
      <c r="F12" s="11" t="s">
        <v>3</v>
      </c>
      <c r="G12" s="1"/>
    </row>
    <row r="13" spans="1:7" x14ac:dyDescent="0.25">
      <c r="A13" s="1"/>
      <c r="B13" s="115" t="s">
        <v>78</v>
      </c>
      <c r="C13" s="116"/>
      <c r="D13" s="116"/>
      <c r="E13" s="116"/>
      <c r="F13" s="117"/>
      <c r="G13" s="1"/>
    </row>
    <row r="14" spans="1:7" x14ac:dyDescent="0.25">
      <c r="A14" s="1"/>
      <c r="B14" s="118" t="s">
        <v>230</v>
      </c>
      <c r="C14" s="119"/>
      <c r="D14" s="120"/>
      <c r="E14" s="7">
        <v>320758</v>
      </c>
      <c r="F14" s="8" t="s">
        <v>3</v>
      </c>
      <c r="G14" s="1"/>
    </row>
    <row r="15" spans="1:7" x14ac:dyDescent="0.25">
      <c r="A15" s="1"/>
      <c r="B15" s="127" t="s">
        <v>231</v>
      </c>
      <c r="C15" s="128"/>
      <c r="D15" s="129"/>
      <c r="E15" s="7">
        <v>301579</v>
      </c>
      <c r="F15" s="8" t="s">
        <v>3</v>
      </c>
      <c r="G15" s="1"/>
    </row>
    <row r="16" spans="1:7" x14ac:dyDescent="0.25">
      <c r="A16" s="1"/>
      <c r="B16" s="136" t="s">
        <v>83</v>
      </c>
      <c r="C16" s="137"/>
      <c r="D16" s="138"/>
      <c r="E16" s="10">
        <f>E15-E14</f>
        <v>-19179</v>
      </c>
      <c r="F16" s="11" t="s">
        <v>3</v>
      </c>
      <c r="G16" s="1"/>
    </row>
    <row r="17" spans="1:7" x14ac:dyDescent="0.25">
      <c r="A17" s="1"/>
      <c r="B17" s="33" t="s">
        <v>232</v>
      </c>
      <c r="C17" s="28"/>
      <c r="D17" s="28"/>
      <c r="E17" s="12">
        <f>E12+E16</f>
        <v>-19179</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JZZ085DLUvg5GmbPc9Ust/zBJQ7wH2NL+e0k2q/rB2NCRrXoKu4ghairl2pY9LkoOjeVg2FX11pA9Fj1d9+cg==" saltValue="GMdTBjDpZC5F/XA3L+feR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149</v>
      </c>
      <c r="C8" s="116"/>
      <c r="D8" s="116"/>
      <c r="E8" s="116"/>
      <c r="F8" s="116"/>
      <c r="G8" s="116"/>
      <c r="H8" s="116"/>
      <c r="I8" s="116"/>
      <c r="J8" s="116"/>
      <c r="K8" s="117"/>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45">
        <v>0</v>
      </c>
      <c r="D10" s="9">
        <v>0</v>
      </c>
      <c r="E10" s="14" t="s">
        <v>3</v>
      </c>
      <c r="F10" s="9">
        <f>IFERROR(D10/C10,0)</f>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HFdBkY2dF/Jz9K9yqh8ap3/bpTTHTrT/CTVtXCJ7Z9vahGnHMDsT58G9TwGtID8a64oa7t2FdSSGwxVX4jrVkg==" saltValue="o+Iva8rpXEa/vcQYPGmmd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829792</v>
      </c>
      <c r="D11" s="14" t="s">
        <v>3</v>
      </c>
      <c r="E11" s="9">
        <v>0</v>
      </c>
      <c r="F11" s="14" t="s">
        <v>3</v>
      </c>
      <c r="G11" s="1"/>
    </row>
    <row r="12" spans="1:7" x14ac:dyDescent="0.25">
      <c r="A12" s="1"/>
      <c r="B12" s="24"/>
      <c r="C12" s="73">
        <v>0</v>
      </c>
      <c r="D12" s="14" t="s">
        <v>3</v>
      </c>
      <c r="E12" s="9">
        <v>0</v>
      </c>
      <c r="F12" s="14" t="s">
        <v>3</v>
      </c>
      <c r="G12" s="1"/>
    </row>
    <row r="13" spans="1:7" x14ac:dyDescent="0.25">
      <c r="A13" s="1"/>
      <c r="B13" s="24"/>
      <c r="C13" s="21">
        <v>0</v>
      </c>
      <c r="D13" s="14" t="s">
        <v>3</v>
      </c>
      <c r="E13" s="9">
        <v>0</v>
      </c>
      <c r="F13" s="14" t="s">
        <v>3</v>
      </c>
      <c r="G13" s="1"/>
    </row>
    <row r="14" spans="1:7" x14ac:dyDescent="0.25">
      <c r="A14" s="1"/>
      <c r="B14" s="24"/>
      <c r="C14" s="21">
        <v>0</v>
      </c>
      <c r="D14" s="14" t="s">
        <v>3</v>
      </c>
      <c r="E14" s="9">
        <v>0</v>
      </c>
      <c r="F14" s="14" t="s">
        <v>3</v>
      </c>
      <c r="G14" s="1"/>
    </row>
    <row r="15" spans="1:7" x14ac:dyDescent="0.25">
      <c r="A15" s="1"/>
      <c r="B15" s="24"/>
      <c r="C15" s="21">
        <v>0</v>
      </c>
      <c r="D15" s="14" t="s">
        <v>3</v>
      </c>
      <c r="E15" s="9">
        <v>0</v>
      </c>
      <c r="F15" s="14" t="s">
        <v>3</v>
      </c>
      <c r="G15" s="1"/>
    </row>
    <row r="16" spans="1:7" x14ac:dyDescent="0.25">
      <c r="A16" s="1"/>
      <c r="B16" s="24"/>
      <c r="C16" s="21">
        <v>0</v>
      </c>
      <c r="D16" s="14" t="s">
        <v>3</v>
      </c>
      <c r="E16" s="9">
        <v>0</v>
      </c>
      <c r="F16" s="14" t="s">
        <v>3</v>
      </c>
      <c r="G16" s="1"/>
    </row>
    <row r="17" spans="1:7" x14ac:dyDescent="0.25">
      <c r="A17" s="1"/>
      <c r="B17" s="24"/>
      <c r="C17" s="21">
        <v>0</v>
      </c>
      <c r="D17" s="14" t="s">
        <v>3</v>
      </c>
      <c r="E17" s="9">
        <v>0</v>
      </c>
      <c r="F17" s="14" t="s">
        <v>3</v>
      </c>
      <c r="G17" s="1"/>
    </row>
    <row r="18" spans="1:7" x14ac:dyDescent="0.25">
      <c r="A18" s="1"/>
      <c r="B18" s="24"/>
      <c r="C18" s="21">
        <v>0</v>
      </c>
      <c r="D18" s="14" t="s">
        <v>3</v>
      </c>
      <c r="E18" s="9">
        <v>0</v>
      </c>
      <c r="F18" s="14" t="s">
        <v>3</v>
      </c>
      <c r="G18" s="1"/>
    </row>
    <row r="19" spans="1:7" x14ac:dyDescent="0.25">
      <c r="A19" s="1"/>
      <c r="B19" s="33" t="s">
        <v>144</v>
      </c>
      <c r="C19" s="12">
        <f>SUM(C10:C18)</f>
        <v>829792</v>
      </c>
      <c r="D19" s="13" t="s">
        <v>3</v>
      </c>
      <c r="E19" s="12">
        <f>SUM(E10:E18)</f>
        <v>0</v>
      </c>
      <c r="F19" s="13" t="s">
        <v>3</v>
      </c>
      <c r="G19" s="1"/>
    </row>
    <row r="20" spans="1:7" x14ac:dyDescent="0.25">
      <c r="A20" s="1"/>
      <c r="B20" s="33" t="s">
        <v>233</v>
      </c>
      <c r="C20" s="12">
        <f>C19*(1+'Fane 15. Nøgletal'!C16)</f>
        <v>896839.1936</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LKLRXBku2SkQ7GWtHKgsZxsWMigxmQpWcOzZw9C+sKMSSObkP89PiNBIxIiclFruuM3/dZCwE8w/YwxJHWzJQ==" saltValue="x2gehAUAz+YU6cqY6QG8Z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260</v>
      </c>
      <c r="C8" s="116"/>
      <c r="D8" s="116"/>
      <c r="E8" s="116"/>
      <c r="F8" s="117"/>
      <c r="G8" s="1"/>
    </row>
    <row r="9" spans="1:7" x14ac:dyDescent="0.25">
      <c r="A9" s="1"/>
      <c r="B9" s="87" t="s">
        <v>17</v>
      </c>
      <c r="C9" s="87" t="s">
        <v>11</v>
      </c>
      <c r="D9" s="88"/>
      <c r="E9" s="87" t="s">
        <v>28</v>
      </c>
      <c r="F9" s="32"/>
      <c r="G9" s="1"/>
    </row>
    <row r="10" spans="1:7" x14ac:dyDescent="0.25">
      <c r="A10" s="1"/>
      <c r="B10" s="24" t="s">
        <v>288</v>
      </c>
      <c r="C10" s="21">
        <v>156476</v>
      </c>
      <c r="D10" s="14" t="s">
        <v>3</v>
      </c>
      <c r="E10" s="9">
        <v>0</v>
      </c>
      <c r="F10" s="14" t="s">
        <v>3</v>
      </c>
      <c r="G10" s="1"/>
    </row>
    <row r="11" spans="1:7" x14ac:dyDescent="0.25">
      <c r="A11" s="1"/>
      <c r="B11" s="24"/>
      <c r="C11" s="21">
        <v>0</v>
      </c>
      <c r="D11" s="14" t="s">
        <v>3</v>
      </c>
      <c r="E11" s="9">
        <v>0</v>
      </c>
      <c r="F11" s="14" t="s">
        <v>3</v>
      </c>
      <c r="G11" s="1"/>
    </row>
    <row r="12" spans="1:7" x14ac:dyDescent="0.25">
      <c r="A12" s="1"/>
      <c r="B12" s="24"/>
      <c r="C12" s="21">
        <v>0</v>
      </c>
      <c r="D12" s="14" t="s">
        <v>3</v>
      </c>
      <c r="E12" s="9">
        <v>0</v>
      </c>
      <c r="F12" s="14" t="s">
        <v>3</v>
      </c>
      <c r="G12" s="1"/>
    </row>
    <row r="13" spans="1:7" x14ac:dyDescent="0.25">
      <c r="A13" s="1"/>
      <c r="B13" s="33" t="s">
        <v>234</v>
      </c>
      <c r="C13" s="12">
        <f>SUM(C10:C12)</f>
        <v>156476</v>
      </c>
      <c r="D13" s="13" t="s">
        <v>3</v>
      </c>
      <c r="E13" s="12">
        <f>SUM(E10:E12)</f>
        <v>0</v>
      </c>
      <c r="F13" s="13" t="s">
        <v>3</v>
      </c>
      <c r="G13" s="1"/>
    </row>
    <row r="14" spans="1:7" x14ac:dyDescent="0.25">
      <c r="A14" s="1"/>
      <c r="B14" s="33" t="s">
        <v>235</v>
      </c>
      <c r="C14" s="12">
        <f>C13*(1+'Fane 15. Nøgletal'!C16)^2</f>
        <v>182784.09707264</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owzT9yVQRDI/P5kwpcTU9aGyFNA3eFWiL0DrONdqR8wj5fiIxEsQyjP501XlU/sztGMP19/gt1h5sYOllbjdA==" saltValue="RrjlIa9F97iswoevCaBTZ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5" t="s">
        <v>110</v>
      </c>
      <c r="C9" s="116"/>
      <c r="D9" s="116"/>
      <c r="E9" s="116"/>
      <c r="F9" s="117"/>
      <c r="G9" s="1"/>
    </row>
    <row r="10" spans="1:7" x14ac:dyDescent="0.25">
      <c r="A10" s="1"/>
      <c r="B10" s="142" t="s">
        <v>236</v>
      </c>
      <c r="C10" s="143"/>
      <c r="D10" s="144"/>
      <c r="E10" s="9">
        <v>232306.44885755659</v>
      </c>
      <c r="F10" s="14" t="s">
        <v>3</v>
      </c>
      <c r="G10" s="1"/>
    </row>
    <row r="11" spans="1:7" x14ac:dyDescent="0.25">
      <c r="A11" s="1"/>
      <c r="B11" s="151" t="s">
        <v>10</v>
      </c>
      <c r="C11" s="152"/>
      <c r="D11" s="153"/>
      <c r="E11" s="9">
        <f>-E10*'Fane 5. Individuelt eff. krav'!G9</f>
        <v>-2814.5060203116891</v>
      </c>
      <c r="F11" s="14" t="s">
        <v>3</v>
      </c>
      <c r="G11" s="1"/>
    </row>
    <row r="12" spans="1:7" x14ac:dyDescent="0.25">
      <c r="A12" s="1"/>
      <c r="B12" s="151" t="s">
        <v>23</v>
      </c>
      <c r="C12" s="152"/>
      <c r="D12" s="153"/>
      <c r="E12" s="9">
        <f>-E10*'Fane 15. Nøgletal'!C33</f>
        <v>-4646.1289771511319</v>
      </c>
      <c r="F12" s="14" t="s">
        <v>3</v>
      </c>
      <c r="G12" s="1"/>
    </row>
    <row r="13" spans="1:7" x14ac:dyDescent="0.25">
      <c r="A13" s="1"/>
      <c r="B13" s="115" t="s">
        <v>111</v>
      </c>
      <c r="C13" s="116"/>
      <c r="D13" s="117"/>
      <c r="E13" s="12">
        <f>SUM(E10:E12)*(1+'Fane 15. Nøgletal'!C16)^2</f>
        <v>262648.83475408447</v>
      </c>
      <c r="F13" s="13" t="s">
        <v>3</v>
      </c>
      <c r="G13" s="1"/>
    </row>
    <row r="14" spans="1:7" x14ac:dyDescent="0.25">
      <c r="A14" s="1"/>
      <c r="B14" s="1"/>
      <c r="C14" s="1"/>
      <c r="D14" s="1"/>
      <c r="E14" s="1"/>
      <c r="F14" s="1"/>
      <c r="G14" s="1"/>
    </row>
    <row r="15" spans="1:7" ht="15" customHeight="1" x14ac:dyDescent="0.25">
      <c r="A15" s="1"/>
      <c r="B15" s="115" t="s">
        <v>124</v>
      </c>
      <c r="C15" s="116"/>
      <c r="D15" s="116"/>
      <c r="E15" s="116"/>
      <c r="F15" s="117"/>
      <c r="G15" s="1"/>
    </row>
    <row r="16" spans="1:7" x14ac:dyDescent="0.25">
      <c r="A16" s="1"/>
      <c r="B16" s="142" t="s">
        <v>236</v>
      </c>
      <c r="C16" s="143"/>
      <c r="D16" s="144"/>
      <c r="E16" s="9">
        <v>232306.44885755659</v>
      </c>
      <c r="F16" s="14" t="s">
        <v>3</v>
      </c>
      <c r="G16" s="1"/>
    </row>
    <row r="17" spans="1:7" x14ac:dyDescent="0.25">
      <c r="A17" s="1"/>
      <c r="B17" s="151" t="s">
        <v>10</v>
      </c>
      <c r="C17" s="152"/>
      <c r="D17" s="153"/>
      <c r="E17" s="9">
        <f>-E16*'Fane 5. Individuelt eff. krav'!G9</f>
        <v>-2814.5060203116891</v>
      </c>
      <c r="F17" s="14" t="s">
        <v>3</v>
      </c>
      <c r="G17" s="1"/>
    </row>
    <row r="18" spans="1:7" x14ac:dyDescent="0.25">
      <c r="A18" s="1"/>
      <c r="B18" s="151" t="s">
        <v>23</v>
      </c>
      <c r="C18" s="152"/>
      <c r="D18" s="153"/>
      <c r="E18" s="9">
        <f>-E16*'Fane 15. Nøgletal'!C33</f>
        <v>-4646.1289771511319</v>
      </c>
      <c r="F18" s="14" t="s">
        <v>3</v>
      </c>
      <c r="G18" s="1"/>
    </row>
    <row r="19" spans="1:7" x14ac:dyDescent="0.25">
      <c r="A19" s="1"/>
      <c r="B19" s="115" t="s">
        <v>125</v>
      </c>
      <c r="C19" s="116"/>
      <c r="D19" s="117"/>
      <c r="E19" s="12">
        <f>SUM(E16:E18)*(1+'Fane 15. Nøgletal'!C16)^3</f>
        <v>283870.86060221447</v>
      </c>
      <c r="F19" s="13" t="s">
        <v>3</v>
      </c>
      <c r="G19" s="1"/>
    </row>
    <row r="20" spans="1:7" x14ac:dyDescent="0.25">
      <c r="A20" s="1"/>
      <c r="B20" s="1"/>
      <c r="C20" s="1"/>
      <c r="D20" s="1"/>
      <c r="E20" s="1"/>
      <c r="F20" s="1"/>
      <c r="G20" s="1"/>
    </row>
    <row r="21" spans="1:7" ht="15" customHeight="1" x14ac:dyDescent="0.25">
      <c r="A21" s="1"/>
      <c r="B21" s="115" t="s">
        <v>145</v>
      </c>
      <c r="C21" s="116"/>
      <c r="D21" s="116"/>
      <c r="E21" s="116"/>
      <c r="F21" s="117"/>
      <c r="G21" s="1"/>
    </row>
    <row r="22" spans="1:7" x14ac:dyDescent="0.25">
      <c r="A22" s="1"/>
      <c r="B22" s="142" t="s">
        <v>236</v>
      </c>
      <c r="C22" s="143"/>
      <c r="D22" s="144"/>
      <c r="E22" s="9">
        <v>232306.44885755659</v>
      </c>
      <c r="F22" s="14" t="s">
        <v>3</v>
      </c>
      <c r="G22" s="1"/>
    </row>
    <row r="23" spans="1:7" x14ac:dyDescent="0.25">
      <c r="A23" s="1"/>
      <c r="B23" s="151" t="s">
        <v>10</v>
      </c>
      <c r="C23" s="152"/>
      <c r="D23" s="153"/>
      <c r="E23" s="9">
        <f>-E22*'Fane 5. Individuelt eff. krav'!G9</f>
        <v>-2814.5060203116891</v>
      </c>
      <c r="F23" s="14" t="s">
        <v>3</v>
      </c>
      <c r="G23" s="1"/>
    </row>
    <row r="24" spans="1:7" x14ac:dyDescent="0.25">
      <c r="A24" s="1"/>
      <c r="B24" s="151" t="s">
        <v>23</v>
      </c>
      <c r="C24" s="152"/>
      <c r="D24" s="153"/>
      <c r="E24" s="9">
        <f>-E22*'Fane 15. Nøgletal'!C33</f>
        <v>-4646.1289771511319</v>
      </c>
      <c r="F24" s="14" t="s">
        <v>3</v>
      </c>
      <c r="G24" s="1"/>
    </row>
    <row r="25" spans="1:7" x14ac:dyDescent="0.25">
      <c r="A25" s="1"/>
      <c r="B25" s="115" t="s">
        <v>146</v>
      </c>
      <c r="C25" s="116"/>
      <c r="D25" s="117"/>
      <c r="E25" s="12">
        <f>SUM(E22:E24)*(1+'Fane 15. Nøgletal'!C16)^4</f>
        <v>306807.6261388734</v>
      </c>
      <c r="F25" s="13" t="s">
        <v>3</v>
      </c>
      <c r="G25" s="1"/>
    </row>
    <row r="26" spans="1:7" x14ac:dyDescent="0.25">
      <c r="A26" s="1"/>
      <c r="B26" s="1"/>
      <c r="C26" s="1"/>
      <c r="D26" s="1"/>
      <c r="E26" s="1"/>
      <c r="F26" s="1"/>
      <c r="G26" s="1"/>
    </row>
    <row r="27" spans="1:7" ht="15" customHeight="1" x14ac:dyDescent="0.25">
      <c r="A27" s="1"/>
      <c r="B27" s="115" t="s">
        <v>237</v>
      </c>
      <c r="C27" s="116"/>
      <c r="D27" s="116"/>
      <c r="E27" s="116"/>
      <c r="F27" s="117"/>
      <c r="G27" s="1"/>
    </row>
    <row r="28" spans="1:7" ht="14.25" customHeight="1" x14ac:dyDescent="0.25">
      <c r="A28" s="1"/>
      <c r="B28" s="142" t="s">
        <v>236</v>
      </c>
      <c r="C28" s="143"/>
      <c r="D28" s="144"/>
      <c r="E28" s="9">
        <v>232306.44885755659</v>
      </c>
      <c r="F28" s="14" t="s">
        <v>3</v>
      </c>
      <c r="G28" s="1"/>
    </row>
    <row r="29" spans="1:7" x14ac:dyDescent="0.25">
      <c r="A29" s="1"/>
      <c r="B29" s="151" t="s">
        <v>10</v>
      </c>
      <c r="C29" s="152"/>
      <c r="D29" s="153"/>
      <c r="E29" s="9">
        <f>-E28*'Fane 5. Individuelt eff. krav'!G9</f>
        <v>-2814.5060203116891</v>
      </c>
      <c r="F29" s="14" t="s">
        <v>3</v>
      </c>
      <c r="G29" s="1"/>
    </row>
    <row r="30" spans="1:7" x14ac:dyDescent="0.25">
      <c r="A30" s="1"/>
      <c r="B30" s="151" t="s">
        <v>23</v>
      </c>
      <c r="C30" s="152"/>
      <c r="D30" s="153"/>
      <c r="E30" s="9">
        <f>-E28*'Fane 15. Nøgletal'!C33</f>
        <v>-4646.1289771511319</v>
      </c>
      <c r="F30" s="14" t="s">
        <v>3</v>
      </c>
      <c r="G30" s="1"/>
    </row>
    <row r="31" spans="1:7" x14ac:dyDescent="0.25">
      <c r="A31" s="1"/>
      <c r="B31" s="115" t="s">
        <v>238</v>
      </c>
      <c r="C31" s="116"/>
      <c r="D31" s="117"/>
      <c r="E31" s="12">
        <f>SUM(E28:E30)*(1+'Fane 15. Nøgletal'!C16)^5</f>
        <v>331597.68233089434</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Q/DgYa71etREIFXnBwGKeGwwAr+4ggaZ1L8a4fbI1gTHqEfCqAr7l29A4vd2Xtdh+O2EBQ1/KsMRjZMyMjrtQ==" saltValue="Re++o2ggtQ1iRo5LmMl65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112</v>
      </c>
      <c r="C8" s="116"/>
      <c r="D8" s="116"/>
      <c r="E8" s="116"/>
      <c r="F8" s="117"/>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v>0</v>
      </c>
      <c r="D11" s="14" t="s">
        <v>3</v>
      </c>
      <c r="E11" s="9">
        <v>0</v>
      </c>
      <c r="F11" s="14" t="s">
        <v>3</v>
      </c>
      <c r="G11" s="1"/>
    </row>
    <row r="12" spans="1:7" x14ac:dyDescent="0.25">
      <c r="A12" s="1"/>
      <c r="B12" s="24"/>
      <c r="C12" s="9">
        <v>0</v>
      </c>
      <c r="D12" s="14" t="s">
        <v>3</v>
      </c>
      <c r="E12" s="9">
        <v>0</v>
      </c>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C0PdFwjYTmHRAFKF/UlSCFxrN7vbl0liDWA5WXQ0IGk5M/kTbe/OlIj34vju83lZqErreDFgLU/PcqZBCB4RoQ==" saltValue="xXvreNP9fHbpMWj4MNkJW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240</v>
      </c>
      <c r="C9" s="116"/>
      <c r="D9" s="116"/>
      <c r="E9" s="116"/>
      <c r="F9" s="117"/>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Xyzpnr+NzI8u2h2DvqnmKzGsp3M5I3ho7W7FeB+EmKYCA7iQRc2S/HdWZ0+qMsaZ0IaSl81jjQik/wAJIVrgA==" saltValue="0XYZwKgzSlAV+6rIhyidI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32817592.305239297</v>
      </c>
      <c r="D9" s="8" t="s">
        <v>3</v>
      </c>
      <c r="E9" s="1"/>
    </row>
    <row r="10" spans="1:5" ht="17.25" customHeight="1" x14ac:dyDescent="0.25">
      <c r="A10" s="1"/>
      <c r="B10" s="89" t="s">
        <v>36</v>
      </c>
      <c r="C10" s="7">
        <f>'Fane 11.1. Varige tillæg'!C20</f>
        <v>896839.1936</v>
      </c>
      <c r="D10" s="8" t="s">
        <v>3</v>
      </c>
      <c r="E10" s="1"/>
    </row>
    <row r="11" spans="1:5" ht="17.25" customHeight="1" x14ac:dyDescent="0.25">
      <c r="A11" s="1"/>
      <c r="B11" s="89" t="s">
        <v>37</v>
      </c>
      <c r="C11" s="9">
        <f>'Fane 11.1. Varige tillæg'!E20</f>
        <v>0</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2724126.0651062154</v>
      </c>
      <c r="D16" s="8" t="s">
        <v>3</v>
      </c>
      <c r="E16" s="1"/>
    </row>
    <row r="17" spans="1:5" ht="17.25" customHeight="1" x14ac:dyDescent="0.25">
      <c r="A17" s="1"/>
      <c r="B17" s="89" t="s">
        <v>10</v>
      </c>
      <c r="C17" s="41">
        <f>-SUM(C9,C10:C16)*'Fane 5. Individuelt eff. krav'!G9</f>
        <v>-441470.91111570172</v>
      </c>
      <c r="D17" s="8" t="s">
        <v>3</v>
      </c>
      <c r="E17" s="1"/>
    </row>
    <row r="18" spans="1:5" ht="17.25" customHeight="1" x14ac:dyDescent="0.25">
      <c r="A18" s="1"/>
      <c r="B18" s="89" t="s">
        <v>23</v>
      </c>
      <c r="C18" s="41">
        <f>-'Fane 4.1. Gen. krav - drift'!G54</f>
        <v>-137341.31574766166</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35859745.337082148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21291242.460777599</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262648.83475408447</v>
      </c>
      <c r="D24" s="11" t="s">
        <v>3</v>
      </c>
      <c r="E24" s="1"/>
    </row>
    <row r="25" spans="1:5" ht="15" customHeight="1" x14ac:dyDescent="0.25">
      <c r="A25" s="1"/>
      <c r="B25" s="44" t="s">
        <v>73</v>
      </c>
      <c r="C25" s="42"/>
      <c r="D25" s="43"/>
      <c r="E25" s="1"/>
    </row>
    <row r="26" spans="1:5" ht="15" customHeight="1" x14ac:dyDescent="0.25">
      <c r="A26" s="1"/>
      <c r="B26" s="89" t="s">
        <v>158</v>
      </c>
      <c r="C26" s="41">
        <f>'Fane 11.2. Engangstillæg'!C14</f>
        <v>182784.09707264</v>
      </c>
      <c r="D26" s="8" t="s">
        <v>3</v>
      </c>
      <c r="E26" s="1"/>
    </row>
    <row r="27" spans="1:5" ht="15" customHeight="1" x14ac:dyDescent="0.25">
      <c r="A27" s="1"/>
      <c r="B27" s="89" t="s">
        <v>70</v>
      </c>
      <c r="C27" s="41">
        <f>'Fane 11.2. Engangstillæg'!E14</f>
        <v>0</v>
      </c>
      <c r="D27" s="8" t="s">
        <v>3</v>
      </c>
      <c r="E27" s="1"/>
    </row>
    <row r="28" spans="1:5" ht="15" customHeight="1" x14ac:dyDescent="0.25">
      <c r="A28" s="1"/>
      <c r="B28" s="89" t="s">
        <v>161</v>
      </c>
      <c r="C28" s="41">
        <f>-C26*('Fane 15. Nøgletal'!C33+'Fane 5. Individuelt eff. krav'!G9)</f>
        <v>-5870.200497257616</v>
      </c>
      <c r="D28" s="8" t="s">
        <v>3</v>
      </c>
      <c r="E28" s="1"/>
    </row>
    <row r="29" spans="1:5" ht="15" customHeight="1" x14ac:dyDescent="0.25">
      <c r="A29" s="1"/>
      <c r="B29" s="89" t="s">
        <v>162</v>
      </c>
      <c r="C29" s="41">
        <f>-C27*('Fane 15. Nøgletal'!C28+'Fane 5. Individuelt eff. krav'!G9)</f>
        <v>0</v>
      </c>
      <c r="D29" s="8" t="s">
        <v>3</v>
      </c>
      <c r="E29" s="1"/>
    </row>
    <row r="30" spans="1:5" ht="15" customHeight="1" x14ac:dyDescent="0.25">
      <c r="A30" s="1"/>
      <c r="B30" s="70" t="s">
        <v>75</v>
      </c>
      <c r="C30" s="10">
        <f>SUM(C26:C29)</f>
        <v>176913.89657538239</v>
      </c>
      <c r="D30" s="11" t="s">
        <v>3</v>
      </c>
      <c r="E30" s="1"/>
    </row>
    <row r="31" spans="1:5" x14ac:dyDescent="0.25">
      <c r="A31" s="1"/>
      <c r="B31" s="33" t="s">
        <v>116</v>
      </c>
      <c r="C31" s="28"/>
      <c r="D31" s="19"/>
      <c r="E31" s="1"/>
    </row>
    <row r="32" spans="1:5" x14ac:dyDescent="0.25">
      <c r="A32" s="1"/>
      <c r="B32" s="31" t="s">
        <v>138</v>
      </c>
      <c r="C32" s="10">
        <f>'Fane 7. Kontrol af ØR2022'!E31</f>
        <v>-362554</v>
      </c>
      <c r="D32" s="11" t="s">
        <v>3</v>
      </c>
      <c r="E32" s="1"/>
    </row>
    <row r="33" spans="1:5" ht="15" customHeight="1" x14ac:dyDescent="0.25">
      <c r="A33" s="1"/>
      <c r="B33" s="33" t="s">
        <v>200</v>
      </c>
      <c r="C33" s="28"/>
      <c r="D33" s="19"/>
      <c r="E33" s="1"/>
    </row>
    <row r="34" spans="1:5" x14ac:dyDescent="0.25">
      <c r="A34" s="1"/>
      <c r="B34" s="31" t="s">
        <v>200</v>
      </c>
      <c r="C34" s="10">
        <f>'Fane 9. Korrektion af ØR2022'!E17</f>
        <v>-19179</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3" t="s">
        <v>108</v>
      </c>
      <c r="C37" s="49">
        <f>SUM(C34,C32,C24,C30,C22,C20,C36)</f>
        <v>57208817.529189214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2VbsudqkaC/qh2BUN9pbiaCFOXzaPg1G8LAjKx6jXBuIZDxBbZ4Z0wXuOy4HvHMarnPt00ZPn7Ii6JYZ0gfsdg==" saltValue="wsnE2I+ROFsGL68owVpRw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RmHq7DthbOHeetUiMZgYMred6vVmKI5Eg9qvFGkJFSDLwVzgEFb34fNQAS9GfMFyQPE5wWvevtvrhfdBvydaZQ==" saltValue="j5yrIFeAF/SzeFwigK25O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35859745.337082148</v>
      </c>
      <c r="D9" s="8" t="s">
        <v>3</v>
      </c>
      <c r="E9" s="1"/>
    </row>
    <row r="10" spans="1:5" ht="15" customHeight="1" x14ac:dyDescent="0.25">
      <c r="A10" s="1"/>
      <c r="B10" s="26" t="s">
        <v>19</v>
      </c>
      <c r="C10" s="7">
        <f>SUM(C9:C9)*'Fane 15. Nøgletal'!C16</f>
        <v>2897467.4232362374</v>
      </c>
      <c r="D10" s="8" t="s">
        <v>3</v>
      </c>
      <c r="E10" s="1"/>
    </row>
    <row r="11" spans="1:5" ht="15" customHeight="1" x14ac:dyDescent="0.25">
      <c r="A11" s="1"/>
      <c r="B11" s="26" t="s">
        <v>10</v>
      </c>
      <c r="C11" s="9">
        <f>-SUM(C9:C10)*'Fane 5. Individuelt eff. krav'!G9</f>
        <v>-469562.55059153872</v>
      </c>
      <c r="D11" s="8" t="s">
        <v>3</v>
      </c>
      <c r="E11" s="1"/>
    </row>
    <row r="12" spans="1:5" ht="15" customHeight="1" x14ac:dyDescent="0.25">
      <c r="A12" s="1"/>
      <c r="B12" s="26" t="s">
        <v>23</v>
      </c>
      <c r="C12" s="9">
        <f>-'Fane 4.1. Gen. krav - drift'!G59</f>
        <v>-145469.72417887129</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38142180.485547975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22985777.981208429</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283870.86060221447</v>
      </c>
      <c r="D18" s="11" t="s">
        <v>3</v>
      </c>
      <c r="E18" s="1"/>
    </row>
    <row r="19" spans="1:5" x14ac:dyDescent="0.25">
      <c r="A19" s="1"/>
      <c r="B19" s="33" t="s">
        <v>116</v>
      </c>
      <c r="C19" s="28"/>
      <c r="D19" s="19"/>
      <c r="E19" s="1"/>
    </row>
    <row r="20" spans="1:5" ht="15" customHeight="1" x14ac:dyDescent="0.25">
      <c r="A20" s="1"/>
      <c r="B20" s="31" t="s">
        <v>138</v>
      </c>
      <c r="C20" s="10">
        <f>'Fane 7. Kontrol af ØR2022'!E31</f>
        <v>-362554</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61049275.327358618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KLQcAS7Npugt9nAWGNTp3zJTvry1KSxc+cek+MypY1AlPPne0gz1wWkZUqk93IMsBtH97HK82e3bCxs0ub7w==" saltValue="SzsZ5ABN4V75zmDAOpVhq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38142180.485547975</v>
      </c>
      <c r="D9" s="8" t="s">
        <v>3</v>
      </c>
      <c r="E9" s="1"/>
    </row>
    <row r="10" spans="1:5" ht="15" customHeight="1" x14ac:dyDescent="0.25">
      <c r="A10" s="1"/>
      <c r="B10" s="26" t="s">
        <v>19</v>
      </c>
      <c r="C10" s="7">
        <f>SUM(C9:C9)*'Fane 15. Nøgletal'!C16</f>
        <v>3081888.1832322762</v>
      </c>
      <c r="D10" s="8" t="s">
        <v>3</v>
      </c>
      <c r="E10" s="1"/>
    </row>
    <row r="11" spans="1:5" ht="15" customHeight="1" x14ac:dyDescent="0.25">
      <c r="A11" s="1"/>
      <c r="B11" s="26" t="s">
        <v>10</v>
      </c>
      <c r="C11" s="9">
        <f>-SUM(C9:C10)*'Fane 5. Individuelt eff. krav'!G9</f>
        <v>-499449.71403341379</v>
      </c>
      <c r="D11" s="8" t="s">
        <v>3</v>
      </c>
      <c r="E11" s="1"/>
    </row>
    <row r="12" spans="1:5" ht="15" customHeight="1" x14ac:dyDescent="0.25">
      <c r="A12" s="1"/>
      <c r="B12" s="26" t="s">
        <v>23</v>
      </c>
      <c r="C12" s="9">
        <f>-'Fane 4.1. Gen. krav - drift'!G64</f>
        <v>-154079.20433467359</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40570539.750412159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24505732.417290069</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306807.6261388734</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65383079.793841101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d77WCKW6ssPwwDQ3XTVnU+UgURXK0HOlSneXjma7wNoLDoT9SOtd2pGcjBQTvBdk8lADG+K8KsISJUxehadcw==" saltValue="FSvf0CbyXOLqqCgdiv8wp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40570539.750412159</v>
      </c>
      <c r="D9" s="8" t="s">
        <v>3</v>
      </c>
      <c r="E9" s="1"/>
      <c r="F9" s="1"/>
    </row>
    <row r="10" spans="1:6" ht="15" customHeight="1" x14ac:dyDescent="0.25">
      <c r="A10" s="1"/>
      <c r="B10" s="26" t="s">
        <v>19</v>
      </c>
      <c r="C10" s="7">
        <f>SUM(C9:C9)*'Fane 15. Nøgletal'!C16</f>
        <v>3278099.6118333023</v>
      </c>
      <c r="D10" s="8" t="s">
        <v>3</v>
      </c>
      <c r="E10" s="1"/>
      <c r="F10" s="1"/>
    </row>
    <row r="11" spans="1:6" ht="15" customHeight="1" x14ac:dyDescent="0.25">
      <c r="A11" s="1"/>
      <c r="B11" s="26" t="s">
        <v>10</v>
      </c>
      <c r="C11" s="9">
        <f>-SUM(C9:C10)*'Fane 5. Individuelt eff. krav'!G9</f>
        <v>-531247.66907865182</v>
      </c>
      <c r="D11" s="8" t="s">
        <v>3</v>
      </c>
      <c r="E11" s="1"/>
      <c r="F11" s="1"/>
    </row>
    <row r="12" spans="1:6" ht="15" customHeight="1" x14ac:dyDescent="0.25">
      <c r="A12" s="1"/>
      <c r="B12" s="26" t="s">
        <v>23</v>
      </c>
      <c r="C12" s="9">
        <f>-'Fane 4.1. Gen. krav - drift'!G69</f>
        <v>-163198.2279640169</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43154193.465202793</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26485147.847807106</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331597.68233089434</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69970938.995340794</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l8+qxG80LERqpTQfNHzu1NHM/JD22y25lymsrBp7mC4/hdxqF7uiT+T2fuzEBQ4zYG7LaQKvFhw5n2qYMBtHDQ==" saltValue="tmlYVakA6777Jxghc2rEo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6"/>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32725894.008049931</v>
      </c>
      <c r="D9" s="8" t="s">
        <v>3</v>
      </c>
      <c r="E9" s="1"/>
    </row>
    <row r="10" spans="1:5" x14ac:dyDescent="0.25">
      <c r="A10" s="1"/>
      <c r="B10" s="89" t="s">
        <v>36</v>
      </c>
      <c r="C10" s="7">
        <v>0</v>
      </c>
      <c r="D10" s="8" t="s">
        <v>3</v>
      </c>
      <c r="E10" s="1"/>
    </row>
    <row r="11" spans="1:5" x14ac:dyDescent="0.25">
      <c r="A11" s="1"/>
      <c r="B11" s="89" t="s">
        <v>37</v>
      </c>
      <c r="C11" s="9">
        <v>1018900.9500000001</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144268.32404656478</v>
      </c>
      <c r="D16" s="8" t="s">
        <v>3</v>
      </c>
      <c r="E16" s="1"/>
    </row>
    <row r="17" spans="1:5" x14ac:dyDescent="0.25">
      <c r="A17" s="1"/>
      <c r="B17" s="89" t="s">
        <v>10</v>
      </c>
      <c r="C17" s="41">
        <v>-505067.78002780036</v>
      </c>
      <c r="D17" s="8" t="s">
        <v>3</v>
      </c>
      <c r="E17" s="1"/>
    </row>
    <row r="18" spans="1:5" x14ac:dyDescent="0.25">
      <c r="A18" s="1"/>
      <c r="B18" s="89" t="s">
        <v>23</v>
      </c>
      <c r="C18" s="41">
        <v>-111364.25752164314</v>
      </c>
      <c r="D18" s="8" t="s">
        <v>3</v>
      </c>
      <c r="E18" s="1"/>
    </row>
    <row r="19" spans="1:5" x14ac:dyDescent="0.25">
      <c r="A19" s="1"/>
      <c r="B19" s="89" t="s">
        <v>24</v>
      </c>
      <c r="C19" s="41">
        <v>-455038.93930775847</v>
      </c>
      <c r="D19" s="8" t="s">
        <v>3</v>
      </c>
      <c r="E19" s="47"/>
    </row>
    <row r="20" spans="1:5" x14ac:dyDescent="0.25">
      <c r="A20" s="1"/>
      <c r="B20" s="83" t="s">
        <v>21</v>
      </c>
      <c r="C20" s="10">
        <v>32817592.305239297</v>
      </c>
      <c r="D20" s="11" t="s">
        <v>3</v>
      </c>
      <c r="E20" s="1"/>
    </row>
    <row r="21" spans="1:5" x14ac:dyDescent="0.25">
      <c r="A21" s="1"/>
      <c r="B21" s="33" t="s">
        <v>12</v>
      </c>
      <c r="C21" s="28"/>
      <c r="D21" s="19"/>
      <c r="E21" s="1"/>
    </row>
    <row r="22" spans="1:5" x14ac:dyDescent="0.25">
      <c r="A22" s="1"/>
      <c r="B22" s="31" t="s">
        <v>12</v>
      </c>
      <c r="C22" s="10">
        <v>20632623.229217764</v>
      </c>
      <c r="D22" s="11" t="s">
        <v>3</v>
      </c>
      <c r="E22" s="1"/>
    </row>
    <row r="23" spans="1:5" x14ac:dyDescent="0.25">
      <c r="A23" s="1"/>
      <c r="B23" s="33" t="s">
        <v>74</v>
      </c>
      <c r="C23" s="28"/>
      <c r="D23" s="19"/>
      <c r="E23" s="1"/>
    </row>
    <row r="24" spans="1:5" x14ac:dyDescent="0.25">
      <c r="A24" s="1"/>
      <c r="B24" s="83" t="s">
        <v>74</v>
      </c>
      <c r="C24" s="10">
        <v>239654.31323580112</v>
      </c>
      <c r="D24" s="11" t="s">
        <v>3</v>
      </c>
      <c r="E24" s="1"/>
    </row>
    <row r="25" spans="1:5" x14ac:dyDescent="0.25">
      <c r="A25" s="1"/>
      <c r="B25" s="44" t="s">
        <v>73</v>
      </c>
      <c r="C25" s="42"/>
      <c r="D25" s="43"/>
      <c r="E25" s="1"/>
    </row>
    <row r="26" spans="1:5" x14ac:dyDescent="0.25">
      <c r="A26" s="1"/>
      <c r="B26" s="89" t="s">
        <v>158</v>
      </c>
      <c r="C26" s="69">
        <v>0</v>
      </c>
      <c r="D26" s="8" t="s">
        <v>3</v>
      </c>
      <c r="E26" s="1"/>
    </row>
    <row r="27" spans="1:5" x14ac:dyDescent="0.25">
      <c r="A27" s="1"/>
      <c r="B27" s="89" t="s">
        <v>70</v>
      </c>
      <c r="C27" s="69">
        <v>0</v>
      </c>
      <c r="D27" s="8" t="s">
        <v>3</v>
      </c>
      <c r="E27" s="1"/>
    </row>
    <row r="28" spans="1:5" x14ac:dyDescent="0.25">
      <c r="A28" s="1"/>
      <c r="B28" s="89" t="s">
        <v>161</v>
      </c>
      <c r="C28" s="69">
        <v>0</v>
      </c>
      <c r="D28" s="8" t="s">
        <v>3</v>
      </c>
      <c r="E28" s="1"/>
    </row>
    <row r="29" spans="1:5" x14ac:dyDescent="0.25">
      <c r="A29" s="1"/>
      <c r="B29" s="89"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-34313</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53655556.847692862</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X7fSlty1jrzKOaQk0JWcLaUCGIbWZUhWk3FCTmJYOPbb1wGGlYSnKmCk00IdNaG20AIIjZPcxhSLjWry9V96/w==" saltValue="39DtPxYw6NyjU77o9hvFO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5" t="s">
        <v>46</v>
      </c>
      <c r="C4" s="116"/>
      <c r="D4" s="116"/>
      <c r="E4" s="116"/>
      <c r="F4" s="116"/>
      <c r="G4" s="116"/>
      <c r="H4" s="117"/>
      <c r="I4" s="1"/>
    </row>
    <row r="5" spans="1:9" x14ac:dyDescent="0.25">
      <c r="A5" s="1"/>
      <c r="B5" s="118" t="s">
        <v>38</v>
      </c>
      <c r="C5" s="119"/>
      <c r="D5" s="119"/>
      <c r="E5" s="119"/>
      <c r="F5" s="120"/>
      <c r="G5" s="63">
        <v>6252587</v>
      </c>
      <c r="H5" s="14" t="s">
        <v>3</v>
      </c>
      <c r="I5" s="1"/>
    </row>
    <row r="6" spans="1:9" x14ac:dyDescent="0.25">
      <c r="A6" s="1"/>
      <c r="B6" s="127" t="s">
        <v>102</v>
      </c>
      <c r="C6" s="128"/>
      <c r="D6" s="128"/>
      <c r="E6" s="128"/>
      <c r="F6" s="129"/>
      <c r="G6" s="66">
        <v>216810</v>
      </c>
      <c r="H6" s="14" t="s">
        <v>3</v>
      </c>
      <c r="I6" s="1"/>
    </row>
    <row r="7" spans="1:9" x14ac:dyDescent="0.25">
      <c r="A7" s="1"/>
      <c r="B7" s="118" t="s">
        <v>39</v>
      </c>
      <c r="C7" s="119"/>
      <c r="D7" s="119"/>
      <c r="E7" s="119"/>
      <c r="F7" s="120"/>
      <c r="G7" s="23">
        <f>SUM(G5:G6)*'Fane 15. Nøgletal'!C33</f>
        <v>129387.94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5" t="s">
        <v>47</v>
      </c>
      <c r="C10" s="116"/>
      <c r="D10" s="116"/>
      <c r="E10" s="116"/>
      <c r="F10" s="116"/>
      <c r="G10" s="116"/>
      <c r="H10" s="117"/>
      <c r="I10" s="1"/>
    </row>
    <row r="11" spans="1:9" x14ac:dyDescent="0.25">
      <c r="A11" s="1"/>
      <c r="B11" s="118" t="s">
        <v>40</v>
      </c>
      <c r="C11" s="119"/>
      <c r="D11" s="119"/>
      <c r="E11" s="119"/>
      <c r="F11" s="120"/>
      <c r="G11" s="23">
        <f>(G5-G7)*(1+'Fane 15. Nøgletal'!C10)</f>
        <v>6230355.0435499996</v>
      </c>
      <c r="H11" s="14" t="s">
        <v>3</v>
      </c>
      <c r="I11" s="1"/>
    </row>
    <row r="12" spans="1:9" ht="15" customHeight="1" x14ac:dyDescent="0.25">
      <c r="A12" s="1"/>
      <c r="B12" s="118" t="s">
        <v>103</v>
      </c>
      <c r="C12" s="119"/>
      <c r="D12" s="119"/>
      <c r="E12" s="119"/>
      <c r="F12" s="120"/>
      <c r="G12" s="66">
        <v>-474488.93666662287</v>
      </c>
      <c r="H12" s="14" t="s">
        <v>3</v>
      </c>
      <c r="I12" s="1"/>
    </row>
    <row r="13" spans="1:9" x14ac:dyDescent="0.25">
      <c r="A13" s="1"/>
      <c r="B13" s="127" t="s">
        <v>100</v>
      </c>
      <c r="C13" s="128"/>
      <c r="D13" s="128"/>
      <c r="E13" s="128"/>
      <c r="F13" s="129"/>
      <c r="G13" s="66">
        <v>220604.17500000002</v>
      </c>
      <c r="H13" s="14" t="s">
        <v>3</v>
      </c>
      <c r="I13" s="1"/>
    </row>
    <row r="14" spans="1:9" x14ac:dyDescent="0.25">
      <c r="A14" s="1"/>
      <c r="B14" s="124" t="s">
        <v>244</v>
      </c>
      <c r="C14" s="125"/>
      <c r="D14" s="125"/>
      <c r="E14" s="125"/>
      <c r="F14" s="126"/>
      <c r="G14" s="66">
        <v>0</v>
      </c>
      <c r="H14" s="14" t="s">
        <v>3</v>
      </c>
      <c r="I14" s="1"/>
    </row>
    <row r="15" spans="1:9" x14ac:dyDescent="0.25">
      <c r="A15" s="1"/>
      <c r="B15" s="118" t="s">
        <v>41</v>
      </c>
      <c r="C15" s="119"/>
      <c r="D15" s="119"/>
      <c r="E15" s="119"/>
      <c r="F15" s="120"/>
      <c r="G15" s="23">
        <f>SUM(G11:G14)*'Fane 15. Nøgletal'!C33</f>
        <v>119529.40563766753</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5" t="s">
        <v>48</v>
      </c>
      <c r="C18" s="116"/>
      <c r="D18" s="116"/>
      <c r="E18" s="116"/>
      <c r="F18" s="116"/>
      <c r="G18" s="116"/>
      <c r="H18" s="117"/>
      <c r="I18" s="1"/>
    </row>
    <row r="19" spans="1:9" x14ac:dyDescent="0.25">
      <c r="A19" s="1"/>
      <c r="B19" s="118" t="s">
        <v>42</v>
      </c>
      <c r="C19" s="119"/>
      <c r="D19" s="119"/>
      <c r="E19" s="119"/>
      <c r="F19" s="120"/>
      <c r="G19" s="23">
        <f>(SUM(G11:G12,G14)-(G15))*(1+'Fane 15. Nøgletal'!C10)</f>
        <v>5734972.5935175093</v>
      </c>
      <c r="H19" s="14" t="s">
        <v>3</v>
      </c>
      <c r="I19" s="1"/>
    </row>
    <row r="20" spans="1:9" x14ac:dyDescent="0.25">
      <c r="A20" s="1"/>
      <c r="B20" s="124" t="s">
        <v>245</v>
      </c>
      <c r="C20" s="125"/>
      <c r="D20" s="125"/>
      <c r="E20" s="125"/>
      <c r="F20" s="126"/>
      <c r="G20" s="66">
        <v>0</v>
      </c>
      <c r="H20" s="14" t="s">
        <v>3</v>
      </c>
      <c r="I20" s="1"/>
    </row>
    <row r="21" spans="1:9" x14ac:dyDescent="0.25">
      <c r="A21" s="1"/>
      <c r="B21" s="118" t="s">
        <v>43</v>
      </c>
      <c r="C21" s="119"/>
      <c r="D21" s="119"/>
      <c r="E21" s="119"/>
      <c r="F21" s="120"/>
      <c r="G21" s="23">
        <f>SUM(G19:G20)*'Fane 15. Nøgletal'!C33</f>
        <v>114699.45187035018</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5" t="s">
        <v>49</v>
      </c>
      <c r="C24" s="116"/>
      <c r="D24" s="116"/>
      <c r="E24" s="116"/>
      <c r="F24" s="116"/>
      <c r="G24" s="116"/>
      <c r="H24" s="117"/>
      <c r="I24" s="1"/>
    </row>
    <row r="25" spans="1:9" x14ac:dyDescent="0.25">
      <c r="A25" s="1"/>
      <c r="B25" s="118" t="s">
        <v>44</v>
      </c>
      <c r="C25" s="119"/>
      <c r="D25" s="119"/>
      <c r="E25" s="119"/>
      <c r="F25" s="120"/>
      <c r="G25" s="23">
        <f>(G19+G20-G21)*(1+'Fane 15. Nøgletal'!C12)</f>
        <v>5730992.5225376086</v>
      </c>
      <c r="H25" s="14" t="s">
        <v>3</v>
      </c>
      <c r="I25" s="1"/>
    </row>
    <row r="26" spans="1:9" x14ac:dyDescent="0.25">
      <c r="A26" s="1"/>
      <c r="B26" s="124" t="s">
        <v>246</v>
      </c>
      <c r="C26" s="125"/>
      <c r="D26" s="125"/>
      <c r="E26" s="125"/>
      <c r="F26" s="126"/>
      <c r="G26" s="66">
        <v>0</v>
      </c>
      <c r="H26" s="14" t="s">
        <v>3</v>
      </c>
      <c r="I26" s="1"/>
    </row>
    <row r="27" spans="1:9" x14ac:dyDescent="0.25">
      <c r="A27" s="1"/>
      <c r="B27" s="118" t="s">
        <v>45</v>
      </c>
      <c r="C27" s="119"/>
      <c r="D27" s="119"/>
      <c r="E27" s="119"/>
      <c r="F27" s="120"/>
      <c r="G27" s="23">
        <f>(G25+G26)*'Fane 15. Nøgletal'!C33</f>
        <v>114619.85045075217</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5" t="s">
        <v>52</v>
      </c>
      <c r="C30" s="116"/>
      <c r="D30" s="116"/>
      <c r="E30" s="116"/>
      <c r="F30" s="116"/>
      <c r="G30" s="116"/>
      <c r="H30" s="117"/>
      <c r="I30" s="1"/>
    </row>
    <row r="31" spans="1:9" x14ac:dyDescent="0.25">
      <c r="A31" s="1"/>
      <c r="B31" s="118" t="s">
        <v>53</v>
      </c>
      <c r="C31" s="119"/>
      <c r="D31" s="119"/>
      <c r="E31" s="119"/>
      <c r="F31" s="120"/>
      <c r="G31" s="23">
        <f>(G25+G26-G27)*(1+'Fane 15. Nøgletal'!C12)</f>
        <v>5727015.2137269676</v>
      </c>
      <c r="H31" s="14" t="s">
        <v>3</v>
      </c>
      <c r="I31" s="1"/>
    </row>
    <row r="32" spans="1:9" x14ac:dyDescent="0.25">
      <c r="A32" s="1"/>
      <c r="B32" s="118" t="s">
        <v>243</v>
      </c>
      <c r="C32" s="119"/>
      <c r="D32" s="119"/>
      <c r="E32" s="119"/>
      <c r="F32" s="120"/>
      <c r="G32" s="63">
        <v>32713.844461199998</v>
      </c>
      <c r="H32" s="14" t="s">
        <v>3</v>
      </c>
      <c r="I32" s="1"/>
    </row>
    <row r="33" spans="1:9" x14ac:dyDescent="0.25">
      <c r="A33" s="1"/>
      <c r="B33" s="118" t="s">
        <v>54</v>
      </c>
      <c r="C33" s="119"/>
      <c r="D33" s="119"/>
      <c r="E33" s="119"/>
      <c r="F33" s="120"/>
      <c r="G33" s="23">
        <f>(G31+G32)*'Fane 15. Nøgletal'!C33</f>
        <v>115194.58116376335</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5" t="s">
        <v>126</v>
      </c>
      <c r="C36" s="116"/>
      <c r="D36" s="116"/>
      <c r="E36" s="116"/>
      <c r="F36" s="116"/>
      <c r="G36" s="116"/>
      <c r="H36" s="117"/>
      <c r="I36" s="1"/>
    </row>
    <row r="37" spans="1:9" x14ac:dyDescent="0.25">
      <c r="A37" s="1"/>
      <c r="B37" s="118" t="s">
        <v>68</v>
      </c>
      <c r="C37" s="119"/>
      <c r="D37" s="119"/>
      <c r="E37" s="119"/>
      <c r="F37" s="120"/>
      <c r="G37" s="23">
        <f>(G31+G32-G33)*(1+'Fane 15. Nøgletal'!C14)</f>
        <v>5663161.4407985853</v>
      </c>
      <c r="H37" s="14" t="s">
        <v>3</v>
      </c>
      <c r="I37" s="1"/>
    </row>
    <row r="38" spans="1:9" x14ac:dyDescent="0.25">
      <c r="A38" s="1"/>
      <c r="B38" s="118" t="s">
        <v>242</v>
      </c>
      <c r="C38" s="119"/>
      <c r="D38" s="119"/>
      <c r="E38" s="119"/>
      <c r="F38" s="120"/>
      <c r="G38" s="63">
        <v>0</v>
      </c>
      <c r="H38" s="14" t="s">
        <v>3</v>
      </c>
      <c r="I38" s="1"/>
    </row>
    <row r="39" spans="1:9" x14ac:dyDescent="0.25">
      <c r="A39" s="1"/>
      <c r="B39" s="118" t="s">
        <v>128</v>
      </c>
      <c r="C39" s="119"/>
      <c r="D39" s="119"/>
      <c r="E39" s="119"/>
      <c r="F39" s="120"/>
      <c r="G39" s="23">
        <f>(G37+G38)*'Fane 15. Nøgletal'!C33</f>
        <v>113263.22881597171</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5" t="s">
        <v>127</v>
      </c>
      <c r="C42" s="116"/>
      <c r="D42" s="116"/>
      <c r="E42" s="116"/>
      <c r="F42" s="116"/>
      <c r="G42" s="116"/>
      <c r="H42" s="117"/>
      <c r="I42" s="1"/>
    </row>
    <row r="43" spans="1:9" x14ac:dyDescent="0.25">
      <c r="A43" s="1"/>
      <c r="B43" s="118" t="s">
        <v>155</v>
      </c>
      <c r="C43" s="119"/>
      <c r="D43" s="119"/>
      <c r="E43" s="119"/>
      <c r="F43" s="120"/>
      <c r="G43" s="23">
        <f>(G37+G38-G39)*(1+'Fane 15. Nøgletal'!C14)</f>
        <v>5568212.8760821568</v>
      </c>
      <c r="H43" s="14" t="s">
        <v>3</v>
      </c>
      <c r="I43" s="1"/>
    </row>
    <row r="44" spans="1:9" x14ac:dyDescent="0.25">
      <c r="A44" s="1"/>
      <c r="B44" s="121" t="s">
        <v>157</v>
      </c>
      <c r="C44" s="122"/>
      <c r="D44" s="122"/>
      <c r="E44" s="122"/>
      <c r="F44" s="123"/>
      <c r="G44" s="72">
        <v>0</v>
      </c>
      <c r="H44" s="14" t="s">
        <v>3</v>
      </c>
      <c r="I44" s="1"/>
    </row>
    <row r="45" spans="1:9" x14ac:dyDescent="0.25">
      <c r="A45" s="1"/>
      <c r="B45" s="118" t="s">
        <v>129</v>
      </c>
      <c r="C45" s="119"/>
      <c r="D45" s="119"/>
      <c r="E45" s="119"/>
      <c r="F45" s="120"/>
      <c r="G45" s="23">
        <f>SUM(G43:G44)*'Fane 15. Nøgletal'!C33</f>
        <v>111364.25752164314</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5" t="s">
        <v>192</v>
      </c>
      <c r="C51" s="116"/>
      <c r="D51" s="116"/>
      <c r="E51" s="116"/>
      <c r="F51" s="116"/>
      <c r="G51" s="116"/>
      <c r="H51" s="117"/>
      <c r="I51" s="1"/>
    </row>
    <row r="52" spans="1:9" x14ac:dyDescent="0.25">
      <c r="A52" s="1"/>
      <c r="B52" s="118" t="s">
        <v>154</v>
      </c>
      <c r="C52" s="119"/>
      <c r="D52" s="119"/>
      <c r="E52" s="119"/>
      <c r="F52" s="120"/>
      <c r="G52" s="23">
        <f>(G43+G44-G45)*(1+'Fane 15. Nøgletal'!C16)</f>
        <v>5897761.9869402032</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969303.80044288002</v>
      </c>
      <c r="H53" s="14" t="s">
        <v>3</v>
      </c>
      <c r="I53" s="1"/>
    </row>
    <row r="54" spans="1:9" x14ac:dyDescent="0.25">
      <c r="A54" s="1"/>
      <c r="B54" s="118" t="s">
        <v>210</v>
      </c>
      <c r="C54" s="119"/>
      <c r="D54" s="119"/>
      <c r="E54" s="119"/>
      <c r="F54" s="120"/>
      <c r="G54" s="23">
        <f>(G52)*'Fane 15. Nøgletal'!C33+(G53)*'Fane 15. Nøgletal'!C33</f>
        <v>137341.31574766166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5" t="s">
        <v>193</v>
      </c>
      <c r="C57" s="116"/>
      <c r="D57" s="116"/>
      <c r="E57" s="116"/>
      <c r="F57" s="116"/>
      <c r="G57" s="116"/>
      <c r="H57" s="117"/>
      <c r="I57" s="1"/>
    </row>
    <row r="58" spans="1:9" x14ac:dyDescent="0.25">
      <c r="A58" s="1"/>
      <c r="B58" s="79" t="s">
        <v>212</v>
      </c>
      <c r="C58" s="80"/>
      <c r="D58" s="80"/>
      <c r="E58" s="80"/>
      <c r="F58" s="81"/>
      <c r="G58" s="23">
        <f>(G52+G53-G54)*(1+'Fane 15. Nøgletal'!C16)</f>
        <v>7273486.2089435635</v>
      </c>
      <c r="H58" s="14" t="s">
        <v>3</v>
      </c>
      <c r="I58" s="1"/>
    </row>
    <row r="59" spans="1:9" x14ac:dyDescent="0.25">
      <c r="A59" s="1"/>
      <c r="B59" s="79" t="s">
        <v>211</v>
      </c>
      <c r="C59" s="80"/>
      <c r="D59" s="80"/>
      <c r="E59" s="80"/>
      <c r="F59" s="81"/>
      <c r="G59" s="23">
        <f>(G58)*'Fane 15. Nøgletal'!C33</f>
        <v>145469.72417887129</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5" t="s">
        <v>256</v>
      </c>
      <c r="C62" s="116"/>
      <c r="D62" s="116"/>
      <c r="E62" s="116"/>
      <c r="F62" s="116"/>
      <c r="G62" s="116"/>
      <c r="H62" s="117"/>
      <c r="I62" s="1"/>
    </row>
    <row r="63" spans="1:9" x14ac:dyDescent="0.25">
      <c r="A63" s="1"/>
      <c r="B63" s="79" t="s">
        <v>213</v>
      </c>
      <c r="C63" s="80"/>
      <c r="D63" s="80"/>
      <c r="E63" s="80"/>
      <c r="F63" s="81"/>
      <c r="G63" s="23">
        <f>(G58-G59)*(1+'Fane 15. Nøgletal'!C16)</f>
        <v>7703960.2167336792</v>
      </c>
      <c r="H63" s="14" t="s">
        <v>3</v>
      </c>
      <c r="I63" s="1"/>
    </row>
    <row r="64" spans="1:9" x14ac:dyDescent="0.25">
      <c r="A64" s="1"/>
      <c r="B64" s="79" t="s">
        <v>214</v>
      </c>
      <c r="C64" s="80"/>
      <c r="D64" s="80"/>
      <c r="E64" s="80"/>
      <c r="F64" s="81"/>
      <c r="G64" s="23">
        <f>(G63)*'Fane 15. Nøgletal'!C33</f>
        <v>154079.20433467359</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5" t="s">
        <v>257</v>
      </c>
      <c r="C67" s="116"/>
      <c r="D67" s="116"/>
      <c r="E67" s="116"/>
      <c r="F67" s="116"/>
      <c r="G67" s="116"/>
      <c r="H67" s="117"/>
      <c r="I67" s="1"/>
    </row>
    <row r="68" spans="1:9" x14ac:dyDescent="0.25">
      <c r="A68" s="1"/>
      <c r="B68" s="79" t="s">
        <v>213</v>
      </c>
      <c r="C68" s="80"/>
      <c r="D68" s="80"/>
      <c r="E68" s="80"/>
      <c r="F68" s="81"/>
      <c r="G68" s="23">
        <f>(G63-G64)*(1+'Fane 15. Nøgletal'!C16)</f>
        <v>8159911.3982008453</v>
      </c>
      <c r="H68" s="14" t="s">
        <v>3</v>
      </c>
      <c r="I68" s="1"/>
    </row>
    <row r="69" spans="1:9" x14ac:dyDescent="0.25">
      <c r="A69" s="1"/>
      <c r="B69" s="79" t="s">
        <v>214</v>
      </c>
      <c r="C69" s="80"/>
      <c r="D69" s="80"/>
      <c r="E69" s="80"/>
      <c r="F69" s="81"/>
      <c r="G69" s="23">
        <f>(G68)*'Fane 15. Nøgletal'!C33</f>
        <v>163198.2279640169</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ABEMks/cAsAr5zGDKZNRr6G3Z1AGLVrHKKO+OL7tQFa2PqtUMgYBcBAsLGfFfvgZlNpv8Wsxkmhkwb4CO/L3eQ==" saltValue="v2iGMRYRbbY5D8nwDCWs7w=="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5" t="s">
        <v>50</v>
      </c>
      <c r="C4" s="116"/>
      <c r="D4" s="116"/>
      <c r="E4" s="116"/>
      <c r="F4" s="116"/>
      <c r="G4" s="116"/>
      <c r="H4" s="117"/>
      <c r="I4" s="1"/>
    </row>
    <row r="5" spans="1:9" x14ac:dyDescent="0.25">
      <c r="A5" s="1"/>
      <c r="B5" s="118" t="s">
        <v>55</v>
      </c>
      <c r="C5" s="119"/>
      <c r="D5" s="119"/>
      <c r="E5" s="119"/>
      <c r="F5" s="120"/>
      <c r="G5" s="63">
        <v>29490879</v>
      </c>
      <c r="H5" s="14" t="s">
        <v>3</v>
      </c>
      <c r="I5" s="1"/>
    </row>
    <row r="6" spans="1:9" x14ac:dyDescent="0.25">
      <c r="A6" s="1"/>
      <c r="B6" s="118" t="s">
        <v>51</v>
      </c>
      <c r="C6" s="119"/>
      <c r="D6" s="119"/>
      <c r="E6" s="119"/>
      <c r="F6" s="120"/>
      <c r="G6" s="23">
        <f>G5*'Fane 15. Nøgletal'!C21</f>
        <v>268366.99890000001</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5" t="s">
        <v>56</v>
      </c>
      <c r="C9" s="116"/>
      <c r="D9" s="116"/>
      <c r="E9" s="116"/>
      <c r="F9" s="116"/>
      <c r="G9" s="116"/>
      <c r="H9" s="117"/>
      <c r="I9" s="1"/>
    </row>
    <row r="10" spans="1:9" x14ac:dyDescent="0.25">
      <c r="A10" s="1"/>
      <c r="B10" s="118" t="s">
        <v>57</v>
      </c>
      <c r="C10" s="119"/>
      <c r="D10" s="119"/>
      <c r="E10" s="119"/>
      <c r="F10" s="120"/>
      <c r="G10" s="23">
        <f>(G5-G6)*(1+'Fane 15. Nøgletal'!C10)</f>
        <v>29733905.961119253</v>
      </c>
      <c r="H10" s="14" t="s">
        <v>3</v>
      </c>
      <c r="I10" s="1"/>
    </row>
    <row r="11" spans="1:9" x14ac:dyDescent="0.25">
      <c r="A11" s="1"/>
      <c r="B11" s="118" t="s">
        <v>104</v>
      </c>
      <c r="C11" s="119"/>
      <c r="D11" s="119"/>
      <c r="E11" s="119"/>
      <c r="F11" s="120"/>
      <c r="G11" s="63">
        <v>-57137.624369953985</v>
      </c>
      <c r="H11" s="14" t="s">
        <v>3</v>
      </c>
      <c r="I11" s="1"/>
    </row>
    <row r="12" spans="1:9" x14ac:dyDescent="0.25">
      <c r="A12" s="1"/>
      <c r="B12" s="124" t="s">
        <v>247</v>
      </c>
      <c r="C12" s="125"/>
      <c r="D12" s="125"/>
      <c r="E12" s="125"/>
      <c r="F12" s="126"/>
      <c r="G12" s="66">
        <v>0</v>
      </c>
      <c r="H12" s="14" t="s">
        <v>3</v>
      </c>
      <c r="I12" s="1"/>
    </row>
    <row r="13" spans="1:9" x14ac:dyDescent="0.25">
      <c r="A13" s="1"/>
      <c r="B13" s="118" t="s">
        <v>58</v>
      </c>
      <c r="C13" s="119"/>
      <c r="D13" s="119"/>
      <c r="E13" s="119"/>
      <c r="F13" s="120"/>
      <c r="G13" s="23">
        <f>SUM(G10:G12)*'Fane 15. Nøgletal'!C22</f>
        <v>525278.79956046259</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5" t="s">
        <v>59</v>
      </c>
      <c r="C16" s="116"/>
      <c r="D16" s="116"/>
      <c r="E16" s="116"/>
      <c r="F16" s="116"/>
      <c r="G16" s="116"/>
      <c r="H16" s="117"/>
      <c r="I16" s="1"/>
    </row>
    <row r="17" spans="1:9" x14ac:dyDescent="0.25">
      <c r="A17" s="1"/>
      <c r="B17" s="118" t="s">
        <v>60</v>
      </c>
      <c r="C17" s="119"/>
      <c r="D17" s="119"/>
      <c r="E17" s="119"/>
      <c r="F17" s="120"/>
      <c r="G17" s="23">
        <f>(SUM(G10:G12)-G13)*(1+'Fane 15. Nøgletal'!C10)</f>
        <v>29661640.604089648</v>
      </c>
      <c r="H17" s="14" t="s">
        <v>3</v>
      </c>
      <c r="I17" s="1"/>
    </row>
    <row r="18" spans="1:9" x14ac:dyDescent="0.25">
      <c r="A18" s="1"/>
      <c r="B18" s="124" t="s">
        <v>248</v>
      </c>
      <c r="C18" s="125"/>
      <c r="D18" s="125"/>
      <c r="E18" s="125"/>
      <c r="F18" s="126"/>
      <c r="G18" s="63">
        <v>1088703.9437489798</v>
      </c>
      <c r="H18" s="14" t="s">
        <v>3</v>
      </c>
      <c r="I18" s="1"/>
    </row>
    <row r="19" spans="1:9" x14ac:dyDescent="0.25">
      <c r="A19" s="1"/>
      <c r="B19" s="118" t="s">
        <v>61</v>
      </c>
      <c r="C19" s="119"/>
      <c r="D19" s="119"/>
      <c r="E19" s="119"/>
      <c r="F19" s="120"/>
      <c r="G19" s="23">
        <f>G17*'Fane 15. Nøgletal'!C22+G18*'Fane 15. Nøgletal'!C23</f>
        <v>534482.76300300297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5" t="s">
        <v>62</v>
      </c>
      <c r="C22" s="116"/>
      <c r="D22" s="116"/>
      <c r="E22" s="116"/>
      <c r="F22" s="116"/>
      <c r="G22" s="116"/>
      <c r="H22" s="117"/>
      <c r="I22" s="1"/>
    </row>
    <row r="23" spans="1:9" x14ac:dyDescent="0.25">
      <c r="A23" s="1"/>
      <c r="B23" s="118" t="s">
        <v>63</v>
      </c>
      <c r="C23" s="119"/>
      <c r="D23" s="119"/>
      <c r="E23" s="119"/>
      <c r="F23" s="120"/>
      <c r="G23" s="23">
        <f>(G17+G18-G19)*(1+'Fane 15. Nøgletal'!C12)</f>
        <v>30811114.261996888</v>
      </c>
      <c r="H23" s="14" t="s">
        <v>3</v>
      </c>
      <c r="I23" s="1"/>
    </row>
    <row r="24" spans="1:9" x14ac:dyDescent="0.25">
      <c r="A24" s="1"/>
      <c r="B24" s="124" t="s">
        <v>249</v>
      </c>
      <c r="C24" s="125"/>
      <c r="D24" s="125"/>
      <c r="E24" s="125"/>
      <c r="F24" s="126"/>
      <c r="G24" s="63">
        <v>609494.59497227415</v>
      </c>
      <c r="H24" s="14" t="s">
        <v>3</v>
      </c>
      <c r="I24" s="1"/>
    </row>
    <row r="25" spans="1:9" x14ac:dyDescent="0.25">
      <c r="A25" s="1"/>
      <c r="B25" s="118" t="s">
        <v>64</v>
      </c>
      <c r="C25" s="119"/>
      <c r="D25" s="119"/>
      <c r="E25" s="119"/>
      <c r="F25" s="120"/>
      <c r="G25" s="23">
        <f>(G23+G24)*'Fane 15. Nøgletal'!C24</f>
        <v>892345.29153792432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5" t="s">
        <v>65</v>
      </c>
      <c r="C28" s="116"/>
      <c r="D28" s="116"/>
      <c r="E28" s="116"/>
      <c r="F28" s="116"/>
      <c r="G28" s="116"/>
      <c r="H28" s="117"/>
      <c r="I28" s="1"/>
    </row>
    <row r="29" spans="1:9" x14ac:dyDescent="0.25">
      <c r="A29" s="1"/>
      <c r="B29" s="118" t="s">
        <v>66</v>
      </c>
      <c r="C29" s="119"/>
      <c r="D29" s="119"/>
      <c r="E29" s="119"/>
      <c r="F29" s="120"/>
      <c r="G29" s="23">
        <f>(G23+G24-G25)*(1+'Fane 15. Nøgletal'!C12)</f>
        <v>31129670.357670233</v>
      </c>
      <c r="H29" s="14" t="s">
        <v>3</v>
      </c>
      <c r="I29" s="1"/>
    </row>
    <row r="30" spans="1:9" x14ac:dyDescent="0.25">
      <c r="A30" s="1"/>
      <c r="B30" s="118" t="s">
        <v>250</v>
      </c>
      <c r="C30" s="119"/>
      <c r="D30" s="119"/>
      <c r="E30" s="119"/>
      <c r="F30" s="120"/>
      <c r="G30" s="63">
        <v>778617.16099523997</v>
      </c>
      <c r="H30" s="14" t="s">
        <v>3</v>
      </c>
      <c r="I30" s="1"/>
    </row>
    <row r="31" spans="1:9" x14ac:dyDescent="0.25">
      <c r="A31" s="1"/>
      <c r="B31" s="118" t="s">
        <v>67</v>
      </c>
      <c r="C31" s="119"/>
      <c r="D31" s="119"/>
      <c r="E31" s="119"/>
      <c r="F31" s="120"/>
      <c r="G31" s="23">
        <f>G29*'Fane 15. Nøgletal'!C24+G30*'Fane 15. Nøgletal'!C25</f>
        <v>905494.61008520378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5" t="s">
        <v>130</v>
      </c>
      <c r="C34" s="116"/>
      <c r="D34" s="116"/>
      <c r="E34" s="116"/>
      <c r="F34" s="116"/>
      <c r="G34" s="116"/>
      <c r="H34" s="117"/>
      <c r="I34" s="1"/>
    </row>
    <row r="35" spans="1:9" x14ac:dyDescent="0.25">
      <c r="A35" s="1"/>
      <c r="B35" s="118" t="s">
        <v>215</v>
      </c>
      <c r="C35" s="119"/>
      <c r="D35" s="119"/>
      <c r="E35" s="119"/>
      <c r="F35" s="120"/>
      <c r="G35" s="23">
        <f>(G29+G30-G31)*(1+'Fane 15. Nøgletal'!C14)</f>
        <v>31105102.125178587</v>
      </c>
      <c r="H35" s="14" t="s">
        <v>3</v>
      </c>
      <c r="I35" s="1"/>
    </row>
    <row r="36" spans="1:9" x14ac:dyDescent="0.25">
      <c r="A36" s="1"/>
      <c r="B36" s="118" t="s">
        <v>251</v>
      </c>
      <c r="C36" s="119"/>
      <c r="D36" s="119"/>
      <c r="E36" s="119"/>
      <c r="F36" s="120"/>
      <c r="G36" s="63">
        <v>0</v>
      </c>
      <c r="H36" s="14" t="s">
        <v>3</v>
      </c>
      <c r="I36" s="1"/>
    </row>
    <row r="37" spans="1:9" x14ac:dyDescent="0.25">
      <c r="A37" s="1"/>
      <c r="B37" s="118" t="s">
        <v>131</v>
      </c>
      <c r="C37" s="119"/>
      <c r="D37" s="119"/>
      <c r="E37" s="119"/>
      <c r="F37" s="120"/>
      <c r="G37" s="23">
        <f>(G35+G36)*'Fane 15. Nøgletal'!C26</f>
        <v>460355.51145264308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5" t="s">
        <v>151</v>
      </c>
      <c r="C40" s="116"/>
      <c r="D40" s="116"/>
      <c r="E40" s="116"/>
      <c r="F40" s="116"/>
      <c r="G40" s="116"/>
      <c r="H40" s="117"/>
      <c r="I40" s="1"/>
    </row>
    <row r="41" spans="1:9" x14ac:dyDescent="0.25">
      <c r="A41" s="1"/>
      <c r="B41" s="118" t="s">
        <v>216</v>
      </c>
      <c r="C41" s="119"/>
      <c r="D41" s="119"/>
      <c r="E41" s="119"/>
      <c r="F41" s="120"/>
      <c r="G41" s="23">
        <f>(G35+G36-G37)*(1+'Fane 15. Nøgletal'!C14)</f>
        <v>30745874.277551245</v>
      </c>
      <c r="H41" s="14" t="s">
        <v>3</v>
      </c>
      <c r="I41" s="1"/>
    </row>
    <row r="42" spans="1:9" x14ac:dyDescent="0.25">
      <c r="A42" s="1"/>
      <c r="B42" s="40" t="s">
        <v>156</v>
      </c>
      <c r="C42" s="80"/>
      <c r="D42" s="80"/>
      <c r="E42" s="80"/>
      <c r="F42" s="81"/>
      <c r="G42" s="23">
        <v>1055173.82382</v>
      </c>
      <c r="H42" s="14" t="s">
        <v>3</v>
      </c>
      <c r="I42" s="1"/>
    </row>
    <row r="43" spans="1:9" x14ac:dyDescent="0.25">
      <c r="A43" s="1"/>
      <c r="B43" s="118" t="s">
        <v>132</v>
      </c>
      <c r="C43" s="119"/>
      <c r="D43" s="119"/>
      <c r="E43" s="119"/>
      <c r="F43" s="120"/>
      <c r="G43" s="23">
        <f>(G41)*'Fane 15. Nøgletal'!C26+G42*'Fane 15. Nøgletal'!C27</f>
        <v>455038.93930775847</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5" t="s">
        <v>259</v>
      </c>
      <c r="C52" s="116"/>
      <c r="D52" s="116"/>
      <c r="E52" s="116"/>
      <c r="F52" s="116"/>
      <c r="G52" s="116"/>
      <c r="H52" s="117"/>
      <c r="I52" s="1"/>
    </row>
    <row r="53" spans="1:9" x14ac:dyDescent="0.25">
      <c r="A53" s="1"/>
      <c r="B53" s="118" t="s">
        <v>217</v>
      </c>
      <c r="C53" s="119"/>
      <c r="D53" s="119"/>
      <c r="E53" s="119"/>
      <c r="F53" s="120"/>
      <c r="G53" s="23">
        <f>(G41+G42-G43)*(1+'Fane 15. Nøgletal'!C16)</f>
        <v>33878766.702358216</v>
      </c>
      <c r="H53" s="14" t="s">
        <v>3</v>
      </c>
      <c r="I53" s="1"/>
    </row>
    <row r="54" spans="1:9" x14ac:dyDescent="0.25">
      <c r="A54" s="1"/>
      <c r="B54" s="79" t="s">
        <v>195</v>
      </c>
      <c r="C54" s="80"/>
      <c r="D54" s="80"/>
      <c r="E54" s="80"/>
      <c r="F54" s="81"/>
      <c r="G54" s="63">
        <v>0</v>
      </c>
      <c r="H54" s="14" t="s">
        <v>3</v>
      </c>
      <c r="I54" s="1"/>
    </row>
    <row r="55" spans="1:9" x14ac:dyDescent="0.25">
      <c r="A55" s="1"/>
      <c r="B55" s="118" t="s">
        <v>218</v>
      </c>
      <c r="C55" s="119"/>
      <c r="D55" s="119"/>
      <c r="E55" s="119"/>
      <c r="F55" s="120"/>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5" t="s">
        <v>258</v>
      </c>
      <c r="C58" s="116"/>
      <c r="D58" s="116"/>
      <c r="E58" s="116"/>
      <c r="F58" s="116"/>
      <c r="G58" s="116"/>
      <c r="H58" s="117"/>
      <c r="I58" s="1"/>
    </row>
    <row r="59" spans="1:9" x14ac:dyDescent="0.25">
      <c r="A59" s="1"/>
      <c r="B59" s="118" t="s">
        <v>219</v>
      </c>
      <c r="C59" s="119"/>
      <c r="D59" s="119"/>
      <c r="E59" s="119"/>
      <c r="F59" s="120"/>
      <c r="G59" s="23">
        <f>(G53+G54-G55)*(1+'Fane 15. Nøgletal'!C16)</f>
        <v>36616171.051908761</v>
      </c>
      <c r="H59" s="14" t="s">
        <v>3</v>
      </c>
      <c r="I59" s="1"/>
    </row>
    <row r="60" spans="1:9" x14ac:dyDescent="0.25">
      <c r="A60" s="1"/>
      <c r="B60" s="118" t="s">
        <v>220</v>
      </c>
      <c r="C60" s="119"/>
      <c r="D60" s="119"/>
      <c r="E60" s="119"/>
      <c r="F60" s="120"/>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5" t="s">
        <v>141</v>
      </c>
      <c r="C63" s="116"/>
      <c r="D63" s="116"/>
      <c r="E63" s="116"/>
      <c r="F63" s="116"/>
      <c r="G63" s="116"/>
      <c r="H63" s="117"/>
      <c r="I63" s="1"/>
    </row>
    <row r="64" spans="1:9" x14ac:dyDescent="0.25">
      <c r="A64" s="1"/>
      <c r="B64" s="118" t="s">
        <v>221</v>
      </c>
      <c r="C64" s="119"/>
      <c r="D64" s="119"/>
      <c r="E64" s="119"/>
      <c r="F64" s="120"/>
      <c r="G64" s="23">
        <f>(G59-G60)*(1+'Fane 15. Nøgletal'!C16)</f>
        <v>39574757.672902986</v>
      </c>
      <c r="H64" s="14" t="s">
        <v>3</v>
      </c>
      <c r="I64" s="1"/>
    </row>
    <row r="65" spans="1:9" x14ac:dyDescent="0.25">
      <c r="A65" s="1"/>
      <c r="B65" s="118" t="s">
        <v>222</v>
      </c>
      <c r="C65" s="119"/>
      <c r="D65" s="119"/>
      <c r="E65" s="119"/>
      <c r="F65" s="120"/>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5" t="s">
        <v>223</v>
      </c>
      <c r="C68" s="116"/>
      <c r="D68" s="116"/>
      <c r="E68" s="116"/>
      <c r="F68" s="116"/>
      <c r="G68" s="116"/>
      <c r="H68" s="117"/>
      <c r="I68" s="1"/>
    </row>
    <row r="69" spans="1:9" x14ac:dyDescent="0.25">
      <c r="A69" s="1"/>
      <c r="B69" s="118" t="s">
        <v>221</v>
      </c>
      <c r="C69" s="119"/>
      <c r="D69" s="119"/>
      <c r="E69" s="119"/>
      <c r="F69" s="120"/>
      <c r="G69" s="23">
        <f>(G64-G65)*(1+'Fane 15. Nøgletal'!C16)</f>
        <v>42772398.092873544</v>
      </c>
      <c r="H69" s="14" t="s">
        <v>3</v>
      </c>
      <c r="I69" s="1"/>
    </row>
    <row r="70" spans="1:9" x14ac:dyDescent="0.25">
      <c r="A70" s="1"/>
      <c r="B70" s="118" t="s">
        <v>222</v>
      </c>
      <c r="C70" s="119"/>
      <c r="D70" s="119"/>
      <c r="E70" s="119"/>
      <c r="F70" s="120"/>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OMqrmB0SeFKDpfg1k72gRf/7NQx06UD72LiHsGqERpAjVqR+jjcN0YW9gkpjURvoObJKxAwnaqNTij9dy38pHg==" saltValue="9UGXpEz6Z4aL8D1BdAV5EA=="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10</v>
      </c>
      <c r="C8" s="116"/>
      <c r="D8" s="116"/>
      <c r="E8" s="116"/>
      <c r="F8" s="116"/>
      <c r="G8" s="117"/>
      <c r="H8" s="1"/>
    </row>
    <row r="9" spans="1:8" x14ac:dyDescent="0.25">
      <c r="A9" s="1"/>
      <c r="B9" s="118" t="s">
        <v>271</v>
      </c>
      <c r="C9" s="119"/>
      <c r="D9" s="119"/>
      <c r="E9" s="119"/>
      <c r="F9" s="120"/>
      <c r="G9" s="22">
        <v>1.2115488115603113E-2</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CBzTROPv9AAv901jfTNsYfx4o/YPW+eOptAXRONkrVrVIn1Q1IjWKa2pj5jJL9FxYN7/TyQfugb1LHgipEddRw==" saltValue="HTdZGZ7F53iHaGxFPyb3F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2024-02-12T12:01:06Z</dcterms:modified>
</cp:coreProperties>
</file>