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Kvarmløse-Tølløse Vandværk (V11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4" i="19" l="1"/>
  <c r="E14" i="27" l="1"/>
  <c r="E26" i="32" l="1"/>
  <c r="E10" i="11" l="1"/>
  <c r="E9" i="32" l="1"/>
  <c r="E39" i="32" s="1"/>
  <c r="E42" i="32" s="1"/>
  <c r="E21" i="15" l="1"/>
  <c r="E25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2" i="2" s="1"/>
  <c r="E18" i="22"/>
  <c r="C13" i="39"/>
  <c r="E21" i="2" s="1"/>
  <c r="E19" i="15" l="1"/>
  <c r="E23" i="2"/>
  <c r="E15" i="27" l="1"/>
  <c r="E16" i="27" s="1"/>
  <c r="E27" i="27" s="1"/>
  <c r="E9" i="2" l="1"/>
  <c r="E34" i="32"/>
  <c r="E40" i="32" s="1"/>
  <c r="E43" i="32" s="1"/>
  <c r="E22" i="15" l="1"/>
  <c r="E26" i="2"/>
  <c r="F11" i="11"/>
  <c r="C10" i="37" s="1"/>
  <c r="C11" i="37" s="1"/>
  <c r="C12" i="37" s="1"/>
  <c r="G11" i="11"/>
  <c r="E11" i="21" l="1"/>
  <c r="C11" i="21"/>
  <c r="E11" i="29"/>
  <c r="C11" i="29"/>
  <c r="C15" i="19"/>
  <c r="E14" i="23" l="1"/>
  <c r="E19" i="2"/>
  <c r="E14" i="22"/>
  <c r="E15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l="1"/>
  <c r="E16" i="2" l="1"/>
  <c r="E17" i="2"/>
  <c r="E29" i="2" s="1"/>
  <c r="E9" i="15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<sst xmlns="http://schemas.openxmlformats.org/spreadsheetml/2006/main" count="417" uniqueCount="162">
  <si>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</si>
  <si>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</si>
  <si>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</si>
  <si>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</si>
  <si>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</si>
  <si>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</si>
  <si>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</si>
  <si>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</si>
  <si>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</si>
  <si>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</si>
  <si>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</si>
  <si>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</si>
  <si>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</si>
  <si>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</si>
  <si>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</si>
  <si>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</si>
  <si>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</si>
  <si>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</si>
  <si>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</si>
  <si>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</si>
  <si>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</si>
  <si>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</si>
  <si>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</si>
  <si>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</si>
  <si>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</si>
  <si>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</si>
  <si>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</si>
  <si>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</si>
  <si>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</si>
  <si>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</si>
  <si>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</si>
  <si>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</si>
  <si>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</si>
  <si>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</si>
  <si>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</si>
  <si>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</si>
  <si>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</si>
  <si>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</si>
  <si>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</si>
  <si>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</si>
  <si>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</si>
  <si>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</si>
  <si>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</si>
  <si>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</si>
  <si>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</si>
  <si>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</si>
  <si>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</si>
  <si>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</si>
  <si>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</si>
  <si>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</si>
  <si>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</si>
  <si>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</si>
  <si>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</si>
  <si>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</si>
  <si>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</si>
  <si>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</si>
  <si>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</si>
  <si>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</si>
  <si>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</si>
  <si>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</si>
  <si>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</si>
  <si>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</si>
  <si>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</si>
  <si>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</si>
  <si>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</si>
  <si>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</si>
  <si>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</si>
  <si>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</si>
  <si>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</si>
  <si>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</si>
  <si>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</si>
  <si>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</si>
  <si>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</si>
  <si>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</si>
  <si>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</si>
  <si>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</si>
  <si>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</si>
  <si>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</si>
  <si>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</si>
  <si>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</si>
  <si>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</si>
  <si>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</si>
  <si>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</si>
  <si>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</si>
  <si>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</si>
  <si>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</si>
  <si>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</si>
  <si>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</si>
  <si>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</si>
  <si>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</si>
  <si>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</si>
  <si>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</si>
  <si>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</si>
  <si>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</si>
  <si>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</si>
  <si>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</si>
  <si>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</si>
  <si>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</si>
  <si>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</si>
  <si>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</si>
  <si>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</si>
  <si>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</si>
  <si>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</si>
  <si>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</si>
  <si>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</si>
  <si>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</si>
  <si>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</si>
  <si>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</si>
  <si>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</si>
  <si>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</si>
  <si>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</si>
  <si>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</si>
  <si>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</si>
  <si>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</si>
  <si>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</si>
  <si>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</si>
  <si>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</si>
  <si>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</si>
  <si>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</si>
  <si>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</si>
  <si>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</si>
  <si>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</si>
  <si>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</si>
  <si>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</si>
  <si>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</si>
  <si>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</si>
  <si>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</si>
  <si>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</si>
  <si>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</si>
  <si>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</si>
  <si>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</si>
  <si>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</si>
  <si>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</si>
  <si>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</si>
  <si>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</si>
  <si>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</si>
  <si>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</si>
  <si>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</si>
  <si>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</si>
  <si>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</si>
  <si>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</si>
  <si>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</si>
  <si>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</si>
  <si>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</si>
  <si>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</si>
  <si>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</si>
  <si>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</si>
  <si>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</si>
  <si>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</si>
  <si>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</si>
  <si>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</si>
  <si>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</si>
  <si>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</si>
  <si>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</si>
  <si>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</si>
  <si>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</si>
  <si>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Erstatninger</t>
  </si>
  <si>
    <t>Ingen anlægsprojekter</t>
  </si>
  <si>
    <t>Investeringsomkostninger til erstatninger</t>
  </si>
  <si>
    <t>Korrektion af tidligere rammer</t>
  </si>
  <si>
    <t>Engangskorrektion vedrørende erstatninger</t>
  </si>
  <si>
    <t>Justering vedrørende erstatninger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</si>
</sst>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0" fontId="8" fillId="7" borderId="2" xfId="0" applyFont="1" applyFill="1" applyBorder="1" applyAlignment="1" applyProtection="1">
      <alignment wrapText="1"/>
    </xf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2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25">
      <c r="A8" s="1"/>
      <c r="B8" s="1"/>
      <c r="C8" s="4"/>
      <c r="D8" s="57" t="s">
        <v>131</v>
      </c>
      <c r="E8" s="57"/>
      <c r="F8" s="57"/>
      <c r="G8" s="5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9" t="s">
        <v>83</v>
      </c>
      <c r="E13" s="50"/>
      <c r="F13" s="50"/>
      <c r="G13" s="51"/>
      <c r="H13" s="1"/>
      <c r="I13" s="1"/>
    </row>
    <row r="14" spans="1:9" x14ac:dyDescent="0.25">
      <c r="A14" s="1"/>
      <c r="B14" s="1"/>
      <c r="C14" s="6" t="s">
        <v>15</v>
      </c>
      <c r="D14" s="49" t="s">
        <v>132</v>
      </c>
      <c r="E14" s="50"/>
      <c r="F14" s="50"/>
      <c r="G14" s="51"/>
      <c r="H14" s="1"/>
      <c r="I14" s="1"/>
    </row>
    <row r="15" spans="1:9" x14ac:dyDescent="0.25">
      <c r="A15" s="1"/>
      <c r="B15" s="1"/>
      <c r="C15" s="6" t="s">
        <v>37</v>
      </c>
      <c r="D15" s="49" t="s">
        <v>47</v>
      </c>
      <c r="E15" s="50"/>
      <c r="F15" s="50"/>
      <c r="G15" s="51"/>
      <c r="H15" s="1"/>
      <c r="I15" s="1"/>
    </row>
    <row r="16" spans="1:9" x14ac:dyDescent="0.25">
      <c r="A16" s="1"/>
      <c r="B16" s="1"/>
      <c r="C16" s="6" t="s">
        <v>38</v>
      </c>
      <c r="D16" s="49" t="s">
        <v>84</v>
      </c>
      <c r="E16" s="50"/>
      <c r="F16" s="50"/>
      <c r="G16" s="51"/>
      <c r="H16" s="1"/>
      <c r="I16" s="1"/>
    </row>
    <row r="17" spans="1:9" x14ac:dyDescent="0.25">
      <c r="A17" s="1"/>
      <c r="B17" s="1"/>
      <c r="C17" s="6" t="s">
        <v>79</v>
      </c>
      <c r="D17" s="49" t="s">
        <v>85</v>
      </c>
      <c r="E17" s="50"/>
      <c r="F17" s="50"/>
      <c r="G17" s="51"/>
      <c r="H17" s="1"/>
      <c r="I17" s="1"/>
    </row>
    <row r="18" spans="1:9" x14ac:dyDescent="0.25">
      <c r="A18" s="1"/>
      <c r="B18" s="1"/>
      <c r="C18" s="6" t="s">
        <v>7</v>
      </c>
      <c r="D18" s="61" t="s">
        <v>12</v>
      </c>
      <c r="E18" s="62"/>
      <c r="F18" s="62"/>
      <c r="G18" s="63"/>
      <c r="H18" s="1"/>
      <c r="I18" s="1"/>
    </row>
    <row r="19" spans="1:9" x14ac:dyDescent="0.25">
      <c r="A19" s="1"/>
      <c r="B19" s="1"/>
      <c r="C19" s="6" t="s">
        <v>8</v>
      </c>
      <c r="D19" s="53" t="s">
        <v>86</v>
      </c>
      <c r="E19" s="54"/>
      <c r="F19" s="54"/>
      <c r="G19" s="55"/>
      <c r="H19" s="1"/>
      <c r="I19" s="1"/>
    </row>
    <row r="20" spans="1:9" x14ac:dyDescent="0.25">
      <c r="A20" s="1"/>
      <c r="B20" s="1"/>
      <c r="C20" s="6" t="s">
        <v>74</v>
      </c>
      <c r="D20" s="53" t="s">
        <v>39</v>
      </c>
      <c r="E20" s="54"/>
      <c r="F20" s="54"/>
      <c r="G20" s="55"/>
      <c r="H20" s="1"/>
      <c r="I20" s="1"/>
    </row>
    <row r="21" spans="1:9" x14ac:dyDescent="0.25">
      <c r="A21" s="1"/>
      <c r="B21" s="1"/>
      <c r="C21" s="6" t="s">
        <v>121</v>
      </c>
      <c r="D21" s="53" t="s">
        <v>51</v>
      </c>
      <c r="E21" s="54"/>
      <c r="F21" s="54"/>
      <c r="G21" s="55"/>
      <c r="H21" s="1"/>
      <c r="I21" s="1"/>
    </row>
    <row r="22" spans="1:9" x14ac:dyDescent="0.25">
      <c r="A22" s="1"/>
      <c r="B22" s="1"/>
      <c r="C22" s="6" t="s">
        <v>122</v>
      </c>
      <c r="D22" s="53" t="s">
        <v>52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123</v>
      </c>
      <c r="D23" s="53" t="s">
        <v>87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40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61</v>
      </c>
      <c r="D25" s="58" t="s">
        <v>75</v>
      </c>
      <c r="E25" s="59"/>
      <c r="F25" s="59"/>
      <c r="G25" s="60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0YhA3Q15WZkYIqdej4wjIfsp2AkMy/P3eBjyee4Yj7fnCzjtqXzOWSWdAotYcH7ZSiOdwfatrIFmJ92dzcYt1A==" saltValue="qnHiheZ+4E4VNiRQuWyvJw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48</v>
      </c>
      <c r="C8" s="22"/>
      <c r="D8" s="22"/>
      <c r="E8" s="22"/>
      <c r="F8" s="48"/>
      <c r="G8" s="1"/>
    </row>
    <row r="9" spans="1:7" ht="17.25" customHeight="1" x14ac:dyDescent="0.25">
      <c r="A9" s="1"/>
      <c r="B9" s="39" t="s">
        <v>16</v>
      </c>
      <c r="C9" s="39" t="s">
        <v>11</v>
      </c>
      <c r="D9" s="40"/>
      <c r="E9" s="39" t="s">
        <v>31</v>
      </c>
      <c r="F9" s="46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7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nuvaDpDgAYVufPGcllQNmKX+uWupsRDknBQhNH7DDNxKK9rCRkAe/NY//uWEM0KN/May/FaE+w5vH/ixO+dy4w==" saltValue="In8iIk0mIol8+L0irxOlP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2" t="s">
        <v>65</v>
      </c>
      <c r="C8" s="83"/>
      <c r="D8" s="83"/>
      <c r="E8" s="83"/>
      <c r="F8" s="84"/>
      <c r="G8" s="1"/>
    </row>
    <row r="9" spans="1:7" x14ac:dyDescent="0.25">
      <c r="A9" s="1"/>
      <c r="B9" s="39" t="s">
        <v>16</v>
      </c>
      <c r="C9" s="39" t="s">
        <v>11</v>
      </c>
      <c r="D9" s="40"/>
      <c r="E9" s="39" t="s">
        <v>31</v>
      </c>
      <c r="F9" s="46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7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2" t="s">
        <v>66</v>
      </c>
      <c r="C15" s="83"/>
      <c r="D15" s="83"/>
      <c r="E15" s="83"/>
      <c r="F15" s="84"/>
      <c r="G15" s="1"/>
    </row>
    <row r="16" spans="1:7" x14ac:dyDescent="0.25">
      <c r="A16" s="1"/>
      <c r="B16" s="39" t="s">
        <v>16</v>
      </c>
      <c r="C16" s="39" t="s">
        <v>11</v>
      </c>
      <c r="D16" s="40"/>
      <c r="E16" s="39" t="s">
        <v>31</v>
      </c>
      <c r="F16" s="46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7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7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2" t="s">
        <v>67</v>
      </c>
      <c r="C22" s="83"/>
      <c r="D22" s="83"/>
      <c r="E22" s="83"/>
      <c r="F22" s="84"/>
      <c r="G22" s="1"/>
    </row>
    <row r="23" spans="1:7" x14ac:dyDescent="0.25">
      <c r="A23" s="1"/>
      <c r="B23" s="39" t="s">
        <v>16</v>
      </c>
      <c r="C23" s="39" t="s">
        <v>11</v>
      </c>
      <c r="D23" s="40"/>
      <c r="E23" s="39" t="s">
        <v>31</v>
      </c>
      <c r="F23" s="46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7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7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2" t="s">
        <v>114</v>
      </c>
      <c r="C29" s="83"/>
      <c r="D29" s="83"/>
      <c r="E29" s="83"/>
      <c r="F29" s="84"/>
      <c r="G29" s="1"/>
    </row>
    <row r="30" spans="1:7" x14ac:dyDescent="0.25">
      <c r="A30" s="1"/>
      <c r="B30" s="39" t="s">
        <v>16</v>
      </c>
      <c r="C30" s="39" t="s">
        <v>11</v>
      </c>
      <c r="D30" s="40"/>
      <c r="E30" s="39" t="s">
        <v>31</v>
      </c>
      <c r="F30" s="46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7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7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lfce6Zq+kswKYzGq8Mwz1KhEUnL6ivbzGeoTrW3Sol/+4Jfp1gtQjsGTOdpqL38TMs7Hcd3p7qVMrISRYcGe/g==" saltValue="NIvnMvIZyeGqfhkrxn4md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0" t="s">
        <v>142</v>
      </c>
      <c r="C3" s="80"/>
      <c r="D3" s="80"/>
      <c r="E3" s="80"/>
      <c r="F3" s="80"/>
      <c r="G3" s="1"/>
    </row>
    <row r="4" spans="1:7" ht="25.5" customHeight="1" x14ac:dyDescent="0.25">
      <c r="A4" s="1"/>
      <c r="B4" s="80"/>
      <c r="C4" s="80"/>
      <c r="D4" s="80"/>
      <c r="E4" s="80"/>
      <c r="F4" s="8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2" t="s">
        <v>106</v>
      </c>
      <c r="C8" s="83"/>
      <c r="D8" s="83"/>
      <c r="E8" s="83"/>
      <c r="F8" s="84"/>
      <c r="G8" s="1"/>
    </row>
    <row r="9" spans="1:7" ht="15" customHeight="1" x14ac:dyDescent="0.25">
      <c r="A9" s="1"/>
      <c r="B9" s="45" t="s">
        <v>115</v>
      </c>
      <c r="C9" s="92" t="s">
        <v>11</v>
      </c>
      <c r="D9" s="93"/>
      <c r="E9" s="92" t="s">
        <v>31</v>
      </c>
      <c r="F9" s="93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1jnS7S9rGZaOYUCWWDqpPcpqvXWrIvVTq2EVPSz0DCnY8qIsf9y0HSDDm0iz5Y4WUCUUiT64V2vujDorlsT+Q==" saltValue="rkkUQv7u50Exm2uCYha5I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0" t="s">
        <v>143</v>
      </c>
      <c r="C3" s="80"/>
      <c r="D3" s="80"/>
      <c r="E3" s="80"/>
      <c r="F3" s="80"/>
      <c r="G3" s="1"/>
    </row>
    <row r="4" spans="1:7" ht="25.5" customHeight="1" x14ac:dyDescent="0.25">
      <c r="A4" s="1"/>
      <c r="B4" s="80"/>
      <c r="C4" s="80"/>
      <c r="D4" s="80"/>
      <c r="E4" s="80"/>
      <c r="F4" s="8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2" t="s">
        <v>59</v>
      </c>
      <c r="C8" s="83"/>
      <c r="D8" s="83"/>
      <c r="E8" s="83"/>
      <c r="F8" s="84"/>
      <c r="G8" s="1"/>
    </row>
    <row r="9" spans="1:7" ht="15" customHeight="1" x14ac:dyDescent="0.25">
      <c r="A9" s="1"/>
      <c r="B9" s="45" t="s">
        <v>17</v>
      </c>
      <c r="C9" s="45" t="s">
        <v>11</v>
      </c>
      <c r="D9" s="46"/>
      <c r="E9" s="45" t="s">
        <v>31</v>
      </c>
      <c r="F9" s="46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7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7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2" t="s">
        <v>58</v>
      </c>
      <c r="C14" s="83"/>
      <c r="D14" s="83"/>
      <c r="E14" s="83"/>
      <c r="F14" s="84"/>
      <c r="G14" s="1"/>
    </row>
    <row r="15" spans="1:7" ht="26.25" x14ac:dyDescent="0.25">
      <c r="A15" s="1"/>
      <c r="B15" s="45" t="s">
        <v>17</v>
      </c>
      <c r="C15" s="45" t="s">
        <v>11</v>
      </c>
      <c r="D15" s="46"/>
      <c r="E15" s="45" t="s">
        <v>31</v>
      </c>
      <c r="F15" s="46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7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7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2" t="s">
        <v>60</v>
      </c>
      <c r="C20" s="83"/>
      <c r="D20" s="83"/>
      <c r="E20" s="83"/>
      <c r="F20" s="84"/>
      <c r="G20" s="1"/>
    </row>
    <row r="21" spans="1:7" ht="26.25" x14ac:dyDescent="0.25">
      <c r="A21" s="1"/>
      <c r="B21" s="45" t="s">
        <v>17</v>
      </c>
      <c r="C21" s="45" t="s">
        <v>11</v>
      </c>
      <c r="D21" s="46"/>
      <c r="E21" s="45" t="s">
        <v>31</v>
      </c>
      <c r="F21" s="46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7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7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2" t="s">
        <v>109</v>
      </c>
      <c r="C26" s="83"/>
      <c r="D26" s="83"/>
      <c r="E26" s="83"/>
      <c r="F26" s="84"/>
      <c r="G26" s="1"/>
    </row>
    <row r="27" spans="1:7" ht="26.25" x14ac:dyDescent="0.25">
      <c r="A27" s="1"/>
      <c r="B27" s="45" t="s">
        <v>17</v>
      </c>
      <c r="C27" s="45" t="s">
        <v>11</v>
      </c>
      <c r="D27" s="46"/>
      <c r="E27" s="45" t="s">
        <v>31</v>
      </c>
      <c r="F27" s="46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7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7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AbNBAHvMvxCTQin1/5wTPKuLVlBh0phS3n1ySejx+krj+8c6FlLrTgth0Qra01mc5idraCDpFsCUAulcis8RhQ==" saltValue="ZYytjmKhRuqBon5Ol6qyR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0" t="s">
        <v>144</v>
      </c>
      <c r="C3" s="80"/>
      <c r="D3" s="1"/>
    </row>
    <row r="4" spans="1:4" ht="25.5" customHeight="1" x14ac:dyDescent="0.25">
      <c r="A4" s="1"/>
      <c r="B4" s="80"/>
      <c r="C4" s="80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14</v>
      </c>
      <c r="C8" s="48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7"/>
      <c r="C14" s="48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7" t="s">
        <v>72</v>
      </c>
      <c r="C17" s="48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4"/>
      <c r="C19" s="95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7KWZ4Ff+b1JUA2EbWjjoIVoI1AI8BtVxjB6i3BCqXWIwMi3NwxGZiO1YZCFKpADlUpcYA2y1SR/x3bIvLKVG4Q==" saltValue="Dew3XbtbCvcGvuX9HL1CfQ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1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88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13</v>
      </c>
      <c r="C8" s="42"/>
      <c r="D8" s="42"/>
      <c r="E8" s="42"/>
      <c r="F8" s="42"/>
      <c r="G8" s="1"/>
    </row>
    <row r="9" spans="1:7" x14ac:dyDescent="0.25">
      <c r="A9" s="1"/>
      <c r="B9" s="37" t="s">
        <v>26</v>
      </c>
      <c r="C9" s="37"/>
      <c r="D9" s="37"/>
      <c r="E9" s="7">
        <f>'Fane 3. Omkostninger i ØR2020'!E16</f>
        <v>2914896.6672251788</v>
      </c>
      <c r="F9" s="37" t="s">
        <v>3</v>
      </c>
      <c r="G9" s="1"/>
    </row>
    <row r="10" spans="1:7" x14ac:dyDescent="0.25">
      <c r="A10" s="1"/>
      <c r="B10" s="37" t="s">
        <v>158</v>
      </c>
      <c r="C10" s="37"/>
      <c r="D10" s="37"/>
      <c r="E10" s="7">
        <v>-4459.9408011325513</v>
      </c>
      <c r="F10" s="37" t="s">
        <v>3</v>
      </c>
      <c r="G10" s="1"/>
    </row>
    <row r="11" spans="1:7" ht="17.100000000000001" customHeight="1" x14ac:dyDescent="0.25">
      <c r="A11" s="1"/>
      <c r="B11" s="37" t="s">
        <v>120</v>
      </c>
      <c r="C11" s="37"/>
      <c r="D11" s="37"/>
      <c r="E11" s="7">
        <v>140903.43143250776</v>
      </c>
      <c r="F11" s="37" t="s">
        <v>3</v>
      </c>
      <c r="G11" s="1"/>
    </row>
    <row r="12" spans="1:7" ht="17.100000000000001" customHeight="1" x14ac:dyDescent="0.25">
      <c r="A12" s="1"/>
      <c r="B12" s="27" t="s">
        <v>80</v>
      </c>
      <c r="C12" s="37"/>
      <c r="D12" s="37"/>
      <c r="E12" s="7">
        <f>'Fane 7.1. Varige tillæg'!C12+'Fane 7.1. Varige tillæg'!E12</f>
        <v>0</v>
      </c>
      <c r="F12" s="37" t="s">
        <v>3</v>
      </c>
      <c r="G12" s="1"/>
    </row>
    <row r="13" spans="1:7" ht="17.100000000000001" customHeight="1" x14ac:dyDescent="0.25">
      <c r="A13" s="1"/>
      <c r="B13" s="27" t="s">
        <v>82</v>
      </c>
      <c r="C13" s="37"/>
      <c r="D13" s="37"/>
      <c r="E13" s="8">
        <f>-('Fane 9. Bortfald'!C12+'Fane 9. Bortfald'!E12)</f>
        <v>0</v>
      </c>
      <c r="F13" s="37" t="s">
        <v>3</v>
      </c>
      <c r="G13" s="1"/>
    </row>
    <row r="14" spans="1:7" ht="17.100000000000001" customHeight="1" x14ac:dyDescent="0.25">
      <c r="A14" s="1"/>
      <c r="B14" s="27" t="s">
        <v>89</v>
      </c>
      <c r="C14" s="37"/>
      <c r="D14" s="37"/>
      <c r="E14" s="8">
        <f>'Fane 8. Tilknyttet virksomhed'!C12+'Fane 8. Tilknyttet virksomhed'!E12</f>
        <v>0</v>
      </c>
      <c r="F14" s="37" t="s">
        <v>3</v>
      </c>
      <c r="G14" s="1"/>
    </row>
    <row r="15" spans="1:7" ht="17.100000000000001" customHeight="1" x14ac:dyDescent="0.25">
      <c r="A15" s="1"/>
      <c r="B15" s="27" t="s">
        <v>18</v>
      </c>
      <c r="C15" s="37"/>
      <c r="D15" s="37"/>
      <c r="E15" s="8">
        <f>SUM(E9:E14)*'Fane 10. Nøgletal'!C13</f>
        <v>37226.349925849965</v>
      </c>
      <c r="F15" s="37" t="s">
        <v>3</v>
      </c>
      <c r="G15" s="1"/>
    </row>
    <row r="16" spans="1:7" ht="17.100000000000001" customHeight="1" x14ac:dyDescent="0.25">
      <c r="A16" s="1"/>
      <c r="B16" s="27" t="s">
        <v>72</v>
      </c>
      <c r="C16" s="37"/>
      <c r="D16" s="37"/>
      <c r="E16" s="8">
        <f>-SUM(E9:E15)*'Fane 10. Nøgletal'!C18</f>
        <v>-52505.630632300876</v>
      </c>
      <c r="F16" s="37" t="s">
        <v>3</v>
      </c>
      <c r="G16" s="1"/>
    </row>
    <row r="17" spans="1:7" ht="15" customHeight="1" x14ac:dyDescent="0.25">
      <c r="A17" s="1"/>
      <c r="B17" s="44" t="s">
        <v>20</v>
      </c>
      <c r="C17" s="41"/>
      <c r="D17" s="41"/>
      <c r="E17" s="9">
        <f>SUM(E9:E16)</f>
        <v>3036060.8771501034</v>
      </c>
      <c r="F17" s="43" t="s">
        <v>3</v>
      </c>
      <c r="G17" s="1"/>
    </row>
    <row r="18" spans="1:7" ht="15" customHeight="1" x14ac:dyDescent="0.25">
      <c r="A18" s="1"/>
      <c r="B18" s="42" t="s">
        <v>12</v>
      </c>
      <c r="C18" s="42"/>
      <c r="D18" s="42"/>
      <c r="E18" s="42"/>
      <c r="F18" s="42"/>
      <c r="G18" s="1"/>
    </row>
    <row r="19" spans="1:7" ht="15" customHeight="1" x14ac:dyDescent="0.25">
      <c r="A19" s="1"/>
      <c r="B19" s="43" t="s">
        <v>12</v>
      </c>
      <c r="C19" s="43"/>
      <c r="D19" s="43"/>
      <c r="E19" s="9">
        <f>'Fane 4. Ikke-påvirkelige omk.'!C15</f>
        <v>1517626.7262397702</v>
      </c>
      <c r="F19" s="43" t="s">
        <v>3</v>
      </c>
      <c r="G19" s="1"/>
    </row>
    <row r="20" spans="1:7" ht="15" customHeight="1" x14ac:dyDescent="0.25">
      <c r="A20" s="1"/>
      <c r="B20" s="42" t="s">
        <v>52</v>
      </c>
      <c r="C20" s="42"/>
      <c r="D20" s="42"/>
      <c r="E20" s="42"/>
      <c r="F20" s="42"/>
      <c r="G20" s="1"/>
    </row>
    <row r="21" spans="1:7" ht="15" customHeight="1" x14ac:dyDescent="0.25">
      <c r="A21" s="1"/>
      <c r="B21" s="27" t="s">
        <v>49</v>
      </c>
      <c r="C21" s="37"/>
      <c r="D21" s="37"/>
      <c r="E21" s="8">
        <f>'Fane 7.2. Engangstillæg'!C13</f>
        <v>0</v>
      </c>
      <c r="F21" s="37" t="s">
        <v>3</v>
      </c>
      <c r="G21" s="1"/>
    </row>
    <row r="22" spans="1:7" x14ac:dyDescent="0.25">
      <c r="A22" s="1"/>
      <c r="B22" s="27" t="s">
        <v>50</v>
      </c>
      <c r="C22" s="37"/>
      <c r="D22" s="37"/>
      <c r="E22" s="8">
        <f>'Fane 7.2. Engangstillæg'!E13</f>
        <v>0</v>
      </c>
      <c r="F22" s="37" t="s">
        <v>3</v>
      </c>
      <c r="G22" s="1"/>
    </row>
    <row r="23" spans="1:7" ht="15" customHeight="1" x14ac:dyDescent="0.25">
      <c r="A23" s="1"/>
      <c r="B23" s="44" t="s">
        <v>53</v>
      </c>
      <c r="C23" s="41"/>
      <c r="D23" s="41"/>
      <c r="E23" s="9">
        <f>SUM(E21:E22)</f>
        <v>0</v>
      </c>
      <c r="F23" s="43" t="s">
        <v>3</v>
      </c>
      <c r="G23" s="1"/>
    </row>
    <row r="24" spans="1:7" x14ac:dyDescent="0.25">
      <c r="A24" s="1"/>
      <c r="B24" s="42" t="s">
        <v>124</v>
      </c>
      <c r="C24" s="42"/>
      <c r="D24" s="42"/>
      <c r="E24" s="42"/>
      <c r="F24" s="42"/>
      <c r="G24" s="1"/>
    </row>
    <row r="25" spans="1:7" x14ac:dyDescent="0.25">
      <c r="A25" s="1"/>
      <c r="B25" s="44" t="s">
        <v>36</v>
      </c>
      <c r="C25" s="41"/>
      <c r="D25" s="41"/>
      <c r="E25" s="9">
        <f>'Fane 5. Kontrol af ØR2019'!E42</f>
        <v>-92224.497294608373</v>
      </c>
      <c r="F25" s="43" t="s">
        <v>3</v>
      </c>
      <c r="G25" s="1"/>
    </row>
    <row r="26" spans="1:7" x14ac:dyDescent="0.25">
      <c r="A26" s="1"/>
      <c r="B26" s="32" t="s">
        <v>125</v>
      </c>
      <c r="C26" s="41"/>
      <c r="D26" s="41"/>
      <c r="E26" s="9">
        <f>'Fane 5. Kontrol af ØR2019'!E43</f>
        <v>0</v>
      </c>
      <c r="F26" s="43" t="s">
        <v>3</v>
      </c>
      <c r="G26" s="1"/>
    </row>
    <row r="27" spans="1:7" x14ac:dyDescent="0.25">
      <c r="A27" s="1"/>
      <c r="B27" s="42" t="s">
        <v>159</v>
      </c>
      <c r="C27" s="42"/>
      <c r="D27" s="42"/>
      <c r="E27" s="42"/>
      <c r="F27" s="42"/>
      <c r="G27" s="1"/>
    </row>
    <row r="28" spans="1:7" x14ac:dyDescent="0.25">
      <c r="A28" s="1"/>
      <c r="B28" s="32" t="s">
        <v>160</v>
      </c>
      <c r="C28" s="41"/>
      <c r="D28" s="41"/>
      <c r="E28" s="9">
        <v>310.62653903894545</v>
      </c>
      <c r="F28" s="43" t="s">
        <v>3</v>
      </c>
      <c r="G28" s="1"/>
    </row>
    <row r="29" spans="1:7" x14ac:dyDescent="0.25">
      <c r="A29" s="1"/>
      <c r="B29" s="42" t="s">
        <v>28</v>
      </c>
      <c r="C29" s="42"/>
      <c r="D29" s="42"/>
      <c r="E29" s="10">
        <f>SUM(E17,E19,E23,E25,E26,E28)</f>
        <v>4461773.7326343041</v>
      </c>
      <c r="F29" s="1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GpMrF0DJd1HGlNNPk91IhApOH2Cy4rmbMWPMRHAMA/pKGi3LG2b/QVzez62Ht1NzWTV/CZZ6B/Zu2mRQD602fg==" saltValue="TRfDTpUOLCx57J6lRa82p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/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13</v>
      </c>
      <c r="C8" s="42"/>
      <c r="D8" s="42"/>
      <c r="E8" s="42"/>
      <c r="F8" s="42"/>
      <c r="G8" s="1"/>
    </row>
    <row r="9" spans="1:7" ht="15" customHeight="1" x14ac:dyDescent="0.25">
      <c r="A9" s="1"/>
      <c r="B9" s="37" t="s">
        <v>27</v>
      </c>
      <c r="C9" s="37"/>
      <c r="D9" s="37"/>
      <c r="E9" s="7">
        <f>'Fane 2.1. Økonomisk ramme 2021'!E17</f>
        <v>3036060.8771501034</v>
      </c>
      <c r="F9" s="37" t="s">
        <v>3</v>
      </c>
      <c r="G9" s="1"/>
    </row>
    <row r="10" spans="1:7" ht="15" customHeight="1" x14ac:dyDescent="0.25">
      <c r="A10" s="1"/>
      <c r="B10" s="27" t="s">
        <v>82</v>
      </c>
      <c r="C10" s="37"/>
      <c r="D10" s="37"/>
      <c r="E10" s="7">
        <f>-('Fane 9. Bortfald'!C18+'Fane 9. Bortfald'!E18)</f>
        <v>0</v>
      </c>
      <c r="F10" s="37" t="s">
        <v>3</v>
      </c>
      <c r="G10" s="1"/>
    </row>
    <row r="11" spans="1:7" ht="15" customHeight="1" x14ac:dyDescent="0.25">
      <c r="A11" s="1"/>
      <c r="B11" s="38" t="s">
        <v>18</v>
      </c>
      <c r="C11" s="37"/>
      <c r="D11" s="37"/>
      <c r="E11" s="8">
        <f>SUM(E9:E10)*'Fane 10. Nøgletal'!C13</f>
        <v>37039.942701231266</v>
      </c>
      <c r="F11" s="37" t="s">
        <v>3</v>
      </c>
      <c r="G11" s="1"/>
    </row>
    <row r="12" spans="1:7" ht="15" customHeight="1" x14ac:dyDescent="0.25">
      <c r="A12" s="1"/>
      <c r="B12" s="38" t="s">
        <v>72</v>
      </c>
      <c r="C12" s="37"/>
      <c r="D12" s="37"/>
      <c r="E12" s="8">
        <f>-SUM(E9:E11)*'Fane 10. Nøgletal'!C18</f>
        <v>-52242.71393747269</v>
      </c>
      <c r="F12" s="37" t="s">
        <v>3</v>
      </c>
      <c r="G12" s="1"/>
    </row>
    <row r="13" spans="1:7" ht="15" customHeight="1" x14ac:dyDescent="0.25">
      <c r="A13" s="1"/>
      <c r="B13" s="41" t="s">
        <v>20</v>
      </c>
      <c r="C13" s="41"/>
      <c r="D13" s="41"/>
      <c r="E13" s="9">
        <f>SUM(E9:E12)</f>
        <v>3020858.1059138621</v>
      </c>
      <c r="F13" s="43" t="s">
        <v>3</v>
      </c>
      <c r="G13" s="1"/>
    </row>
    <row r="14" spans="1:7" x14ac:dyDescent="0.25">
      <c r="A14" s="1"/>
      <c r="B14" s="42" t="s">
        <v>12</v>
      </c>
      <c r="C14" s="42"/>
      <c r="D14" s="42"/>
      <c r="E14" s="42"/>
      <c r="F14" s="42"/>
      <c r="G14" s="1"/>
    </row>
    <row r="15" spans="1:7" ht="15" customHeight="1" x14ac:dyDescent="0.25">
      <c r="A15" s="1"/>
      <c r="B15" s="43" t="s">
        <v>12</v>
      </c>
      <c r="C15" s="43"/>
      <c r="D15" s="43"/>
      <c r="E15" s="9">
        <f>'Fane 4. Ikke-påvirkelige omk.'!C15*(1+'Fane 10. Nøgletal'!C13)</f>
        <v>1536141.7722998953</v>
      </c>
      <c r="F15" s="43" t="s">
        <v>3</v>
      </c>
      <c r="G15" s="1"/>
    </row>
    <row r="16" spans="1:7" ht="15" customHeight="1" x14ac:dyDescent="0.25">
      <c r="A16" s="1"/>
      <c r="B16" s="42" t="s">
        <v>52</v>
      </c>
      <c r="C16" s="42"/>
      <c r="D16" s="42"/>
      <c r="E16" s="42"/>
      <c r="F16" s="42"/>
      <c r="G16" s="1"/>
    </row>
    <row r="17" spans="1:7" ht="15" customHeight="1" x14ac:dyDescent="0.25">
      <c r="A17" s="1"/>
      <c r="B17" s="27" t="s">
        <v>49</v>
      </c>
      <c r="C17" s="37"/>
      <c r="D17" s="37"/>
      <c r="E17" s="8">
        <f>'Fane 7.2. Engangstillæg'!C20</f>
        <v>0</v>
      </c>
      <c r="F17" s="37" t="s">
        <v>3</v>
      </c>
      <c r="G17" s="1"/>
    </row>
    <row r="18" spans="1:7" ht="15" customHeight="1" x14ac:dyDescent="0.25">
      <c r="A18" s="1"/>
      <c r="B18" s="27" t="s">
        <v>50</v>
      </c>
      <c r="C18" s="37"/>
      <c r="D18" s="37"/>
      <c r="E18" s="8">
        <f>'Fane 7.2. Engangstillæg'!E20</f>
        <v>0</v>
      </c>
      <c r="F18" s="37" t="s">
        <v>3</v>
      </c>
      <c r="G18" s="1"/>
    </row>
    <row r="19" spans="1:7" ht="15" customHeight="1" x14ac:dyDescent="0.25">
      <c r="A19" s="1"/>
      <c r="B19" s="44" t="s">
        <v>53</v>
      </c>
      <c r="C19" s="41"/>
      <c r="D19" s="41"/>
      <c r="E19" s="9">
        <f>SUM(E17:E18)</f>
        <v>0</v>
      </c>
      <c r="F19" s="43" t="s">
        <v>3</v>
      </c>
      <c r="G19" s="1"/>
    </row>
    <row r="20" spans="1:7" x14ac:dyDescent="0.25">
      <c r="A20" s="1"/>
      <c r="B20" s="42" t="s">
        <v>124</v>
      </c>
      <c r="C20" s="42"/>
      <c r="D20" s="42"/>
      <c r="E20" s="42"/>
      <c r="F20" s="42"/>
      <c r="G20" s="1"/>
    </row>
    <row r="21" spans="1:7" ht="15" customHeight="1" x14ac:dyDescent="0.25">
      <c r="A21" s="1"/>
      <c r="B21" s="43" t="s">
        <v>36</v>
      </c>
      <c r="C21" s="43"/>
      <c r="D21" s="43"/>
      <c r="E21" s="9">
        <f>'Fane 5. Kontrol af ØR2019'!E42</f>
        <v>-92224.497294608373</v>
      </c>
      <c r="F21" s="43" t="s">
        <v>3</v>
      </c>
      <c r="G21" s="1"/>
    </row>
    <row r="22" spans="1:7" x14ac:dyDescent="0.25">
      <c r="A22" s="1"/>
      <c r="B22" s="44" t="s">
        <v>125</v>
      </c>
      <c r="C22" s="43"/>
      <c r="D22" s="43"/>
      <c r="E22" s="9">
        <f>'Fane 5. Kontrol af ØR2019'!E43</f>
        <v>0</v>
      </c>
      <c r="F22" s="43" t="s">
        <v>3</v>
      </c>
      <c r="G22" s="1"/>
    </row>
    <row r="23" spans="1:7" x14ac:dyDescent="0.25">
      <c r="A23" s="1"/>
      <c r="B23" s="42" t="s">
        <v>29</v>
      </c>
      <c r="C23" s="42"/>
      <c r="D23" s="42"/>
      <c r="E23" s="10">
        <f>SUM(E13,E15,E19,E21,E22)</f>
        <v>4464775.3809191491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2O7aLxWkWxraTo+QP97Srf14T2zlQ5OFeFgw4y13e3D9FEydtR+KK6cwm5jWy6LMMqwr5piWHUpDQFrAjkMbRA==" saltValue="omSH3uWWc/ndsg0JBMA8d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21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25">
      <c r="A8" s="1"/>
      <c r="B8" s="37" t="s">
        <v>92</v>
      </c>
      <c r="C8" s="37"/>
      <c r="D8" s="37"/>
      <c r="E8" s="7">
        <f>'Fane 2.2. Økonomisk ramme 2022'!E13</f>
        <v>3020858.1059138621</v>
      </c>
      <c r="F8" s="37" t="s">
        <v>3</v>
      </c>
      <c r="G8" s="1"/>
    </row>
    <row r="9" spans="1:7" ht="15" customHeight="1" x14ac:dyDescent="0.25">
      <c r="A9" s="1"/>
      <c r="B9" s="37" t="s">
        <v>82</v>
      </c>
      <c r="C9" s="37"/>
      <c r="D9" s="37"/>
      <c r="E9" s="7">
        <f>-('Fane 9. Bortfald'!C24+'Fane 9. Bortfald'!E24)</f>
        <v>0</v>
      </c>
      <c r="F9" s="37" t="s">
        <v>3</v>
      </c>
      <c r="G9" s="1"/>
    </row>
    <row r="10" spans="1:7" ht="15" customHeight="1" x14ac:dyDescent="0.25">
      <c r="A10" s="1"/>
      <c r="B10" s="38" t="s">
        <v>18</v>
      </c>
      <c r="C10" s="37"/>
      <c r="D10" s="37"/>
      <c r="E10" s="8">
        <f>SUM(E8:E9)*'Fane 10. Nøgletal'!C13</f>
        <v>36854.468892149118</v>
      </c>
      <c r="F10" s="37" t="s">
        <v>3</v>
      </c>
      <c r="G10" s="1"/>
    </row>
    <row r="11" spans="1:7" ht="15" customHeight="1" x14ac:dyDescent="0.25">
      <c r="A11" s="1"/>
      <c r="B11" s="38" t="s">
        <v>72</v>
      </c>
      <c r="C11" s="37"/>
      <c r="D11" s="37"/>
      <c r="E11" s="8">
        <f>-SUM(E8:E10)*'Fane 10. Nøgletal'!C18</f>
        <v>-51981.113771702192</v>
      </c>
      <c r="F11" s="37" t="s">
        <v>3</v>
      </c>
      <c r="G11" s="1"/>
    </row>
    <row r="12" spans="1:7" x14ac:dyDescent="0.25">
      <c r="A12" s="1"/>
      <c r="B12" s="41" t="s">
        <v>20</v>
      </c>
      <c r="C12" s="41"/>
      <c r="D12" s="41"/>
      <c r="E12" s="9">
        <f>SUM(E8:E11)</f>
        <v>3005731.4610343091</v>
      </c>
      <c r="F12" s="43" t="s">
        <v>3</v>
      </c>
      <c r="G12" s="1"/>
    </row>
    <row r="13" spans="1:7" x14ac:dyDescent="0.2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25">
      <c r="A14" s="1"/>
      <c r="B14" s="43" t="s">
        <v>12</v>
      </c>
      <c r="C14" s="43"/>
      <c r="D14" s="43"/>
      <c r="E14" s="9">
        <f>'Fane 4. Ikke-påvirkelige omk.'!C15*(1+'Fane 10. Nøgletal'!C13)^2</f>
        <v>1554882.7019219541</v>
      </c>
      <c r="F14" s="43" t="s">
        <v>3</v>
      </c>
      <c r="G14" s="1"/>
    </row>
    <row r="15" spans="1:7" ht="15" customHeight="1" x14ac:dyDescent="0.25">
      <c r="A15" s="1"/>
      <c r="B15" s="42" t="s">
        <v>52</v>
      </c>
      <c r="C15" s="42"/>
      <c r="D15" s="42"/>
      <c r="E15" s="42"/>
      <c r="F15" s="42"/>
      <c r="G15" s="1"/>
    </row>
    <row r="16" spans="1:7" ht="15" customHeight="1" x14ac:dyDescent="0.25">
      <c r="A16" s="1"/>
      <c r="B16" s="27" t="s">
        <v>49</v>
      </c>
      <c r="C16" s="37"/>
      <c r="D16" s="37"/>
      <c r="E16" s="8">
        <f>'Fane 7.2. Engangstillæg'!C27</f>
        <v>0</v>
      </c>
      <c r="F16" s="37" t="s">
        <v>3</v>
      </c>
      <c r="G16" s="1"/>
    </row>
    <row r="17" spans="1:7" ht="15" customHeight="1" x14ac:dyDescent="0.25">
      <c r="A17" s="1"/>
      <c r="B17" s="27" t="s">
        <v>50</v>
      </c>
      <c r="C17" s="37"/>
      <c r="D17" s="37"/>
      <c r="E17" s="8">
        <f>'Fane 7.2. Engangstillæg'!E27</f>
        <v>0</v>
      </c>
      <c r="F17" s="37" t="s">
        <v>3</v>
      </c>
      <c r="G17" s="1"/>
    </row>
    <row r="18" spans="1:7" ht="15" customHeight="1" x14ac:dyDescent="0.25">
      <c r="A18" s="1"/>
      <c r="B18" s="44" t="s">
        <v>53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25">
      <c r="A19" s="1"/>
      <c r="B19" s="42" t="s">
        <v>57</v>
      </c>
      <c r="C19" s="42"/>
      <c r="D19" s="42"/>
      <c r="E19" s="10">
        <f>SUM(E12,E14,E18)</f>
        <v>4560614.1629562629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3zFpdOAsTdwUyqWAXHVIVilYCI+11ZPYQdxXCdC7M6vVp3VXsRsOHkFywU4REusVwNMqpH7xdeA/Q170QMyvg==" saltValue="8aDmFvKan9gqa7wDc7joa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21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13</v>
      </c>
      <c r="C7" s="42"/>
      <c r="D7" s="42"/>
      <c r="E7" s="42"/>
      <c r="F7" s="42"/>
      <c r="G7" s="1"/>
    </row>
    <row r="8" spans="1:7" ht="15" customHeight="1" x14ac:dyDescent="0.25">
      <c r="A8" s="1"/>
      <c r="B8" s="37" t="s">
        <v>94</v>
      </c>
      <c r="C8" s="37"/>
      <c r="D8" s="37"/>
      <c r="E8" s="7">
        <f>'Fane 2.3. Økonomisk ramme 2023'!E12</f>
        <v>3005731.4610343091</v>
      </c>
      <c r="F8" s="37" t="s">
        <v>3</v>
      </c>
      <c r="G8" s="1"/>
    </row>
    <row r="9" spans="1:7" ht="15" customHeight="1" x14ac:dyDescent="0.25">
      <c r="A9" s="1"/>
      <c r="B9" s="37" t="s">
        <v>82</v>
      </c>
      <c r="C9" s="37"/>
      <c r="D9" s="37"/>
      <c r="E9" s="7">
        <f>-('Fane 9. Bortfald'!C30+'Fane 9. Bortfald'!E30)</f>
        <v>0</v>
      </c>
      <c r="F9" s="37" t="s">
        <v>3</v>
      </c>
      <c r="G9" s="1"/>
    </row>
    <row r="10" spans="1:7" ht="15" customHeight="1" x14ac:dyDescent="0.25">
      <c r="A10" s="1"/>
      <c r="B10" s="38" t="s">
        <v>18</v>
      </c>
      <c r="C10" s="37"/>
      <c r="D10" s="37"/>
      <c r="E10" s="8">
        <f>SUM(E8:E9)*'Fane 10. Nøgletal'!C13</f>
        <v>36669.923824618571</v>
      </c>
      <c r="F10" s="37" t="s">
        <v>3</v>
      </c>
      <c r="G10" s="1"/>
    </row>
    <row r="11" spans="1:7" ht="15" customHeight="1" x14ac:dyDescent="0.25">
      <c r="A11" s="1"/>
      <c r="B11" s="38" t="s">
        <v>72</v>
      </c>
      <c r="C11" s="37"/>
      <c r="D11" s="37"/>
      <c r="E11" s="8">
        <f>-SUM(E8:E10)*'Fane 10. Nøgletal'!C18</f>
        <v>-51720.823542601771</v>
      </c>
      <c r="F11" s="37" t="s">
        <v>3</v>
      </c>
      <c r="G11" s="1"/>
    </row>
    <row r="12" spans="1:7" x14ac:dyDescent="0.25">
      <c r="A12" s="1"/>
      <c r="B12" s="41" t="s">
        <v>20</v>
      </c>
      <c r="C12" s="41"/>
      <c r="D12" s="41"/>
      <c r="E12" s="9">
        <f>SUM(E8:E11)</f>
        <v>2990680.5613163258</v>
      </c>
      <c r="F12" s="43" t="s">
        <v>3</v>
      </c>
      <c r="G12" s="1"/>
    </row>
    <row r="13" spans="1:7" x14ac:dyDescent="0.25">
      <c r="A13" s="1"/>
      <c r="B13" s="42" t="s">
        <v>12</v>
      </c>
      <c r="C13" s="42"/>
      <c r="D13" s="42"/>
      <c r="E13" s="42"/>
      <c r="F13" s="42"/>
      <c r="G13" s="1"/>
    </row>
    <row r="14" spans="1:7" ht="15" customHeight="1" x14ac:dyDescent="0.25">
      <c r="A14" s="1"/>
      <c r="B14" s="43" t="s">
        <v>12</v>
      </c>
      <c r="C14" s="43"/>
      <c r="D14" s="43"/>
      <c r="E14" s="9">
        <f>'Fane 4. Ikke-påvirkelige omk.'!C15*(1+'Fane 10. Nøgletal'!C13)^3</f>
        <v>1573852.2708854021</v>
      </c>
      <c r="F14" s="43" t="s">
        <v>3</v>
      </c>
      <c r="G14" s="1"/>
    </row>
    <row r="15" spans="1:7" ht="15" customHeight="1" x14ac:dyDescent="0.25">
      <c r="A15" s="1"/>
      <c r="B15" s="42" t="s">
        <v>52</v>
      </c>
      <c r="C15" s="42"/>
      <c r="D15" s="42"/>
      <c r="E15" s="42"/>
      <c r="F15" s="42"/>
      <c r="G15" s="1"/>
    </row>
    <row r="16" spans="1:7" ht="15" customHeight="1" x14ac:dyDescent="0.25">
      <c r="A16" s="1"/>
      <c r="B16" s="27" t="s">
        <v>49</v>
      </c>
      <c r="C16" s="37"/>
      <c r="D16" s="37"/>
      <c r="E16" s="8">
        <f>'Fane 7.2. Engangstillæg'!C34</f>
        <v>0</v>
      </c>
      <c r="F16" s="37" t="s">
        <v>3</v>
      </c>
      <c r="G16" s="1"/>
    </row>
    <row r="17" spans="1:7" ht="15" customHeight="1" x14ac:dyDescent="0.25">
      <c r="A17" s="1"/>
      <c r="B17" s="27" t="s">
        <v>50</v>
      </c>
      <c r="C17" s="37"/>
      <c r="D17" s="37"/>
      <c r="E17" s="8">
        <f>'Fane 7.2. Engangstillæg'!E34</f>
        <v>0</v>
      </c>
      <c r="F17" s="37" t="s">
        <v>3</v>
      </c>
      <c r="G17" s="1"/>
    </row>
    <row r="18" spans="1:7" ht="15" customHeight="1" x14ac:dyDescent="0.25">
      <c r="A18" s="1"/>
      <c r="B18" s="44" t="s">
        <v>53</v>
      </c>
      <c r="C18" s="41"/>
      <c r="D18" s="41"/>
      <c r="E18" s="9">
        <f>SUM(E16:E17)</f>
        <v>0</v>
      </c>
      <c r="F18" s="43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10">
        <f>SUM(E12,E14,E18)</f>
        <v>4564532.8322017277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tC9GxmoDWo13YJoe+OzO58RqG2Q+LQfiUumiyXN+jrSAwrQVhmcx+NPlX2tf2Thw4Eqqwd+/3q3S02yjOeEMQ==" saltValue="30hgOByRlxud5yUy6PoHp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0" t="s">
        <v>96</v>
      </c>
      <c r="C3" s="80"/>
      <c r="D3" s="80"/>
      <c r="E3" s="80"/>
      <c r="F3" s="80"/>
      <c r="G3" s="1"/>
    </row>
    <row r="4" spans="1:7" ht="29.25" customHeight="1" x14ac:dyDescent="0.25">
      <c r="A4" s="1"/>
      <c r="B4" s="80"/>
      <c r="C4" s="80"/>
      <c r="D4" s="80"/>
      <c r="E4" s="80"/>
      <c r="F4" s="8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97</v>
      </c>
      <c r="C8" s="42"/>
      <c r="D8" s="42"/>
      <c r="E8" s="42"/>
      <c r="F8" s="42"/>
      <c r="G8" s="1"/>
    </row>
    <row r="9" spans="1:7" x14ac:dyDescent="0.25">
      <c r="A9" s="1"/>
      <c r="B9" s="81" t="s">
        <v>24</v>
      </c>
      <c r="C9" s="81"/>
      <c r="D9" s="81"/>
      <c r="E9" s="7">
        <v>2927592.4618394827</v>
      </c>
      <c r="F9" s="37" t="s">
        <v>3</v>
      </c>
      <c r="G9" s="1"/>
    </row>
    <row r="10" spans="1:7" x14ac:dyDescent="0.25">
      <c r="A10" s="1"/>
      <c r="B10" s="69" t="s">
        <v>149</v>
      </c>
      <c r="C10" s="69"/>
      <c r="D10" s="69"/>
      <c r="E10" s="7">
        <v>111249.61514856167</v>
      </c>
      <c r="F10" s="37" t="s">
        <v>3</v>
      </c>
      <c r="G10" s="1"/>
    </row>
    <row r="11" spans="1:7" x14ac:dyDescent="0.25">
      <c r="A11" s="1"/>
      <c r="B11" s="69" t="s">
        <v>150</v>
      </c>
      <c r="C11" s="69"/>
      <c r="D11" s="69"/>
      <c r="E11" s="7">
        <v>0</v>
      </c>
      <c r="F11" s="37" t="s">
        <v>3</v>
      </c>
      <c r="G11" s="1"/>
    </row>
    <row r="12" spans="1:7" x14ac:dyDescent="0.25">
      <c r="A12" s="1"/>
      <c r="B12" s="69" t="s">
        <v>80</v>
      </c>
      <c r="C12" s="69"/>
      <c r="D12" s="69"/>
      <c r="E12" s="7">
        <v>0</v>
      </c>
      <c r="F12" s="37" t="s">
        <v>3</v>
      </c>
      <c r="G12" s="1"/>
    </row>
    <row r="13" spans="1:7" x14ac:dyDescent="0.25">
      <c r="A13" s="1"/>
      <c r="B13" s="69" t="s">
        <v>81</v>
      </c>
      <c r="C13" s="69"/>
      <c r="D13" s="69"/>
      <c r="E13" s="8">
        <v>0</v>
      </c>
      <c r="F13" s="37" t="s">
        <v>3</v>
      </c>
      <c r="G13" s="1"/>
    </row>
    <row r="14" spans="1:7" x14ac:dyDescent="0.25">
      <c r="A14" s="1"/>
      <c r="B14" s="69" t="s">
        <v>18</v>
      </c>
      <c r="C14" s="69"/>
      <c r="D14" s="69"/>
      <c r="E14" s="8">
        <f>(E9-SUM(E10:E11))*'Fane 10. Nøgletal'!C9+E10*'Fane 10. Nøgletal'!C10+E11*'Fane 10. Nøgletal'!C11+SUM(E12:E13)*'Fane 10. Nøgletal'!C12</f>
        <v>37714.42241807453</v>
      </c>
      <c r="F14" s="37" t="s">
        <v>3</v>
      </c>
      <c r="G14" s="1"/>
    </row>
    <row r="15" spans="1:7" x14ac:dyDescent="0.25">
      <c r="A15" s="1"/>
      <c r="B15" s="69" t="s">
        <v>72</v>
      </c>
      <c r="C15" s="69"/>
      <c r="D15" s="69"/>
      <c r="E15" s="8">
        <f>-SUM(E9:E9,E12:E14)*'Fane 10. Nøgletal'!C18</f>
        <v>-50410.217032378481</v>
      </c>
      <c r="F15" s="37" t="s">
        <v>3</v>
      </c>
      <c r="G15" s="1"/>
    </row>
    <row r="16" spans="1:7" x14ac:dyDescent="0.25">
      <c r="A16" s="1"/>
      <c r="B16" s="71" t="s">
        <v>20</v>
      </c>
      <c r="C16" s="71"/>
      <c r="D16" s="71"/>
      <c r="E16" s="9">
        <f>SUM(E9,E12:E15)</f>
        <v>2914896.6672251788</v>
      </c>
      <c r="F16" s="43" t="s">
        <v>3</v>
      </c>
      <c r="G16" s="1"/>
    </row>
    <row r="17" spans="1:7" x14ac:dyDescent="0.25">
      <c r="A17" s="1"/>
      <c r="B17" s="72" t="s">
        <v>12</v>
      </c>
      <c r="C17" s="72"/>
      <c r="D17" s="72"/>
      <c r="E17" s="42"/>
      <c r="F17" s="42"/>
      <c r="G17" s="1"/>
    </row>
    <row r="18" spans="1:7" x14ac:dyDescent="0.25">
      <c r="A18" s="1"/>
      <c r="B18" s="73" t="s">
        <v>12</v>
      </c>
      <c r="C18" s="73"/>
      <c r="D18" s="73"/>
      <c r="E18" s="9">
        <v>1393422.09898518</v>
      </c>
      <c r="F18" s="43" t="s">
        <v>3</v>
      </c>
      <c r="G18" s="1"/>
    </row>
    <row r="19" spans="1:7" x14ac:dyDescent="0.25">
      <c r="A19" s="1"/>
      <c r="B19" s="42" t="s">
        <v>52</v>
      </c>
      <c r="C19" s="42"/>
      <c r="D19" s="42"/>
      <c r="E19" s="42"/>
      <c r="F19" s="42"/>
      <c r="G19" s="1"/>
    </row>
    <row r="20" spans="1:7" ht="15.4" customHeight="1" x14ac:dyDescent="0.2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2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2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25">
      <c r="A23" s="1"/>
      <c r="B23" s="42" t="s">
        <v>145</v>
      </c>
      <c r="C23" s="42"/>
      <c r="D23" s="42"/>
      <c r="E23" s="42"/>
      <c r="F23" s="42"/>
      <c r="G23" s="1"/>
    </row>
    <row r="24" spans="1:7" ht="15.75" customHeight="1" x14ac:dyDescent="0.25">
      <c r="A24" s="1"/>
      <c r="B24" s="66" t="s">
        <v>146</v>
      </c>
      <c r="C24" s="67"/>
      <c r="D24" s="68"/>
      <c r="E24" s="9">
        <v>-857779</v>
      </c>
      <c r="F24" s="9" t="s">
        <v>3</v>
      </c>
      <c r="G24" s="1"/>
    </row>
    <row r="25" spans="1:7" x14ac:dyDescent="0.25">
      <c r="A25" s="1"/>
      <c r="B25" s="42" t="s">
        <v>147</v>
      </c>
      <c r="C25" s="42"/>
      <c r="D25" s="42"/>
      <c r="E25" s="42"/>
      <c r="F25" s="42"/>
      <c r="G25" s="1"/>
    </row>
    <row r="26" spans="1:7" ht="15.4" customHeight="1" x14ac:dyDescent="0.25">
      <c r="A26" s="1"/>
      <c r="B26" s="66" t="s">
        <v>148</v>
      </c>
      <c r="C26" s="67"/>
      <c r="D26" s="68"/>
      <c r="E26" s="9">
        <v>0</v>
      </c>
      <c r="F26" s="43" t="s">
        <v>3</v>
      </c>
      <c r="G26" s="1"/>
    </row>
    <row r="27" spans="1:7" x14ac:dyDescent="0.25">
      <c r="A27" s="1"/>
      <c r="B27" s="42" t="s">
        <v>25</v>
      </c>
      <c r="C27" s="42"/>
      <c r="D27" s="42"/>
      <c r="E27" s="10">
        <f>E16+E18+E22+E24+E26</f>
        <v>3450539.7662103586</v>
      </c>
      <c r="F27" s="11" t="s">
        <v>3</v>
      </c>
      <c r="G27" s="1"/>
    </row>
    <row r="28" spans="1:7" ht="28.5" customHeight="1" x14ac:dyDescent="0.25">
      <c r="A28" s="1"/>
      <c r="B28" s="70" t="s">
        <v>98</v>
      </c>
      <c r="C28" s="70"/>
      <c r="D28" s="70"/>
      <c r="E28" s="70"/>
      <c r="F28" s="7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X9OSJl+APCHoNXaNsWbal214CGTJoD+ffapZBLn2YKvRmaZ4HzXfj9r0bycNNQziCwg0g3kr3kPYZms8pcNX2A==" saltValue="sKGXUJe+bnWV8AfC/U3Ml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69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2" t="s">
        <v>99</v>
      </c>
      <c r="C8" s="83"/>
      <c r="D8" s="84"/>
      <c r="E8" s="1"/>
      <c r="F8" s="1"/>
    </row>
    <row r="9" spans="1:6" ht="15" customHeight="1" x14ac:dyDescent="0.25">
      <c r="A9" s="1"/>
      <c r="B9" s="17" t="s">
        <v>32</v>
      </c>
      <c r="C9" s="43" t="s">
        <v>100</v>
      </c>
      <c r="D9" s="43"/>
      <c r="E9" s="1"/>
      <c r="F9" s="1"/>
    </row>
    <row r="10" spans="1:6" x14ac:dyDescent="0.25">
      <c r="A10" s="1"/>
      <c r="B10" s="26" t="s">
        <v>154</v>
      </c>
      <c r="C10" s="8">
        <v>1403490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4499</v>
      </c>
      <c r="D11" s="12" t="s">
        <v>3</v>
      </c>
      <c r="E11" s="1"/>
      <c r="F11" s="1"/>
    </row>
    <row r="12" spans="1:6" x14ac:dyDescent="0.25">
      <c r="A12" s="1"/>
      <c r="B12" s="26" t="s">
        <v>156</v>
      </c>
      <c r="C12" s="8">
        <v>9196</v>
      </c>
      <c r="D12" s="12" t="s">
        <v>3</v>
      </c>
      <c r="E12" s="1"/>
      <c r="F12" s="1"/>
    </row>
    <row r="13" spans="1:6" x14ac:dyDescent="0.25">
      <c r="A13" s="1"/>
      <c r="B13" s="33" t="s">
        <v>161</v>
      </c>
      <c r="C13" s="8">
        <v>64078.427363570343</v>
      </c>
      <c r="D13" s="12" t="s">
        <v>3</v>
      </c>
      <c r="E13" s="1"/>
      <c r="F13" s="1"/>
    </row>
    <row r="14" spans="1:6" x14ac:dyDescent="0.25">
      <c r="A14" s="1"/>
      <c r="B14" s="47" t="s">
        <v>101</v>
      </c>
      <c r="C14" s="10">
        <f>SUM(C10:C13)</f>
        <v>1481263.4273635703</v>
      </c>
      <c r="D14" s="11" t="s">
        <v>3</v>
      </c>
      <c r="E14" s="1"/>
      <c r="F14" s="1"/>
    </row>
    <row r="15" spans="1:6" x14ac:dyDescent="0.25">
      <c r="A15" s="1"/>
      <c r="B15" s="47" t="s">
        <v>102</v>
      </c>
      <c r="C15" s="10">
        <f>C14*(1+'Fane 10. Nøgletal'!C13)^2</f>
        <v>1517626.7262397702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0h2FLnbo4FX7sHzEWWxMj4hAYRmtjpw5Vcn0OuwbN0TiivyHYzAyFz8diuudzZhoVBcePg+pMlhsYQztm3rXcg==" saltValue="RMBqfhpFEqygFDk13J8Zu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0" t="s">
        <v>116</v>
      </c>
      <c r="C3" s="80"/>
      <c r="D3" s="80"/>
      <c r="E3" s="80"/>
      <c r="F3" s="80"/>
      <c r="G3" s="1"/>
    </row>
    <row r="4" spans="1:7" ht="15" customHeight="1" x14ac:dyDescent="0.25">
      <c r="A4" s="1"/>
      <c r="B4" s="80"/>
      <c r="C4" s="80"/>
      <c r="D4" s="80"/>
      <c r="E4" s="80"/>
      <c r="F4" s="80"/>
      <c r="G4" s="1"/>
    </row>
    <row r="5" spans="1:7" ht="15" customHeight="1" x14ac:dyDescent="0.25">
      <c r="A5" s="1"/>
      <c r="B5" s="36"/>
      <c r="C5" s="36"/>
      <c r="D5" s="36"/>
      <c r="E5" s="36"/>
      <c r="F5" s="36"/>
      <c r="G5" s="1"/>
    </row>
    <row r="6" spans="1:7" ht="15" customHeight="1" x14ac:dyDescent="0.25">
      <c r="A6" s="1"/>
      <c r="B6" s="85" t="s">
        <v>36</v>
      </c>
      <c r="C6" s="85"/>
      <c r="D6" s="85"/>
      <c r="E6" s="85"/>
      <c r="F6" s="85"/>
      <c r="G6" s="1"/>
    </row>
    <row r="7" spans="1:7" ht="15" customHeight="1" x14ac:dyDescent="0.25">
      <c r="A7" s="1"/>
      <c r="B7" s="86" t="s">
        <v>34</v>
      </c>
      <c r="C7" s="86"/>
      <c r="D7" s="86"/>
      <c r="E7" s="8">
        <v>2486.0666666666802</v>
      </c>
      <c r="F7" s="12" t="s">
        <v>3</v>
      </c>
      <c r="G7" s="1"/>
    </row>
    <row r="8" spans="1:7" ht="15" customHeight="1" x14ac:dyDescent="0.25">
      <c r="A8" s="1"/>
      <c r="B8" s="86" t="s">
        <v>35</v>
      </c>
      <c r="C8" s="86"/>
      <c r="D8" s="86"/>
      <c r="E8" s="8">
        <v>-186935.06125588343</v>
      </c>
      <c r="F8" s="12" t="s">
        <v>3</v>
      </c>
      <c r="G8" s="1"/>
    </row>
    <row r="9" spans="1:7" ht="15" customHeight="1" x14ac:dyDescent="0.25">
      <c r="A9" s="1"/>
      <c r="B9" s="77" t="s">
        <v>76</v>
      </c>
      <c r="C9" s="78"/>
      <c r="D9" s="79"/>
      <c r="E9" s="9">
        <f>SUM(E7:E8)</f>
        <v>-184448.99458921675</v>
      </c>
      <c r="F9" s="15" t="s">
        <v>3</v>
      </c>
      <c r="G9" s="1"/>
    </row>
    <row r="10" spans="1:7" ht="15" customHeight="1" x14ac:dyDescent="0.25">
      <c r="A10" s="1"/>
      <c r="B10" s="82"/>
      <c r="C10" s="83"/>
      <c r="D10" s="83"/>
      <c r="E10" s="83"/>
      <c r="F10" s="84"/>
      <c r="G10" s="1"/>
    </row>
    <row r="11" spans="1:7" ht="27" customHeight="1" x14ac:dyDescent="0.25">
      <c r="A11" s="1"/>
      <c r="B11" s="70" t="s">
        <v>71</v>
      </c>
      <c r="C11" s="70"/>
      <c r="D11" s="70"/>
      <c r="E11" s="70"/>
      <c r="F11" s="7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5" t="s">
        <v>62</v>
      </c>
      <c r="C14" s="85"/>
      <c r="D14" s="85"/>
      <c r="E14" s="85"/>
      <c r="F14" s="85"/>
      <c r="G14" s="1"/>
    </row>
    <row r="15" spans="1:7" x14ac:dyDescent="0.25">
      <c r="A15" s="1"/>
      <c r="B15" s="86" t="s">
        <v>63</v>
      </c>
      <c r="C15" s="86"/>
      <c r="D15" s="86"/>
      <c r="E15" s="8">
        <v>4056581.4296725634</v>
      </c>
      <c r="F15" s="12" t="s">
        <v>3</v>
      </c>
      <c r="G15" s="1"/>
    </row>
    <row r="16" spans="1:7" x14ac:dyDescent="0.25">
      <c r="A16" s="1"/>
      <c r="B16" s="86" t="s">
        <v>64</v>
      </c>
      <c r="C16" s="86"/>
      <c r="D16" s="86"/>
      <c r="E16" s="8">
        <v>3810952</v>
      </c>
      <c r="F16" s="12" t="s">
        <v>3</v>
      </c>
      <c r="G16" s="1"/>
    </row>
    <row r="17" spans="1:7" x14ac:dyDescent="0.25">
      <c r="A17" s="1"/>
      <c r="B17" s="86" t="s">
        <v>33</v>
      </c>
      <c r="C17" s="86"/>
      <c r="D17" s="86"/>
      <c r="E17" s="8">
        <v>0</v>
      </c>
      <c r="F17" s="12" t="s">
        <v>3</v>
      </c>
      <c r="G17" s="1"/>
    </row>
    <row r="18" spans="1:7" x14ac:dyDescent="0.25">
      <c r="A18" s="1"/>
      <c r="B18" s="87" t="s">
        <v>136</v>
      </c>
      <c r="C18" s="87"/>
      <c r="D18" s="87"/>
      <c r="E18" s="9">
        <f>E15-(E16-E17)</f>
        <v>245629.42967256345</v>
      </c>
      <c r="F18" s="15" t="s">
        <v>3</v>
      </c>
      <c r="G18" s="1"/>
    </row>
    <row r="19" spans="1:7" x14ac:dyDescent="0.25">
      <c r="A19" s="1"/>
      <c r="B19" s="88"/>
      <c r="C19" s="89"/>
      <c r="D19" s="89"/>
      <c r="E19" s="89"/>
      <c r="F19" s="90"/>
      <c r="G19" s="1"/>
    </row>
    <row r="20" spans="1:7" ht="28.5" customHeight="1" x14ac:dyDescent="0.2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5" t="s">
        <v>44</v>
      </c>
      <c r="C22" s="85"/>
      <c r="D22" s="85"/>
      <c r="E22" s="85"/>
      <c r="F22" s="85"/>
      <c r="G22" s="1"/>
    </row>
    <row r="23" spans="1:7" ht="15" customHeight="1" x14ac:dyDescent="0.25">
      <c r="A23" s="1"/>
      <c r="B23" s="86" t="s">
        <v>45</v>
      </c>
      <c r="C23" s="86"/>
      <c r="D23" s="86"/>
      <c r="E23" s="8">
        <v>3420991.6558561707</v>
      </c>
      <c r="F23" s="12" t="s">
        <v>3</v>
      </c>
      <c r="G23" s="1"/>
    </row>
    <row r="24" spans="1:7" ht="15" customHeight="1" x14ac:dyDescent="0.25">
      <c r="A24" s="1"/>
      <c r="B24" s="86" t="s">
        <v>46</v>
      </c>
      <c r="C24" s="86"/>
      <c r="D24" s="86"/>
      <c r="E24" s="8">
        <v>3298971</v>
      </c>
      <c r="F24" s="12" t="s">
        <v>3</v>
      </c>
      <c r="G24" s="1"/>
    </row>
    <row r="25" spans="1:7" ht="15" customHeight="1" x14ac:dyDescent="0.25">
      <c r="A25" s="1"/>
      <c r="B25" s="86" t="s">
        <v>33</v>
      </c>
      <c r="C25" s="86"/>
      <c r="D25" s="86"/>
      <c r="E25" s="8">
        <v>0</v>
      </c>
      <c r="F25" s="12" t="s">
        <v>3</v>
      </c>
      <c r="G25" s="1"/>
    </row>
    <row r="26" spans="1:7" x14ac:dyDescent="0.25">
      <c r="A26" s="1"/>
      <c r="B26" s="87" t="s">
        <v>137</v>
      </c>
      <c r="C26" s="87"/>
      <c r="D26" s="87"/>
      <c r="E26" s="9">
        <f>E23-(E24-E25)</f>
        <v>122020.65585617069</v>
      </c>
      <c r="F26" s="15" t="s">
        <v>3</v>
      </c>
      <c r="G26" s="1"/>
    </row>
    <row r="27" spans="1:7" x14ac:dyDescent="0.25">
      <c r="A27" s="1"/>
      <c r="B27" s="82"/>
      <c r="C27" s="83"/>
      <c r="D27" s="83"/>
      <c r="E27" s="83"/>
      <c r="F27" s="84"/>
      <c r="G27" s="1"/>
    </row>
    <row r="28" spans="1:7" ht="28.5" customHeight="1" x14ac:dyDescent="0.2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5" t="s">
        <v>127</v>
      </c>
      <c r="C30" s="85"/>
      <c r="D30" s="85"/>
      <c r="E30" s="85"/>
      <c r="F30" s="85"/>
      <c r="G30" s="1"/>
    </row>
    <row r="31" spans="1:7" x14ac:dyDescent="0.25">
      <c r="A31" s="1"/>
      <c r="B31" s="86" t="s">
        <v>128</v>
      </c>
      <c r="C31" s="86"/>
      <c r="D31" s="86"/>
      <c r="E31" s="8">
        <v>3434411.4290971793</v>
      </c>
      <c r="F31" s="12" t="s">
        <v>3</v>
      </c>
      <c r="G31" s="1"/>
    </row>
    <row r="32" spans="1:7" x14ac:dyDescent="0.25">
      <c r="A32" s="1"/>
      <c r="B32" s="86" t="s">
        <v>129</v>
      </c>
      <c r="C32" s="86"/>
      <c r="D32" s="86"/>
      <c r="E32" s="8">
        <v>3539868</v>
      </c>
      <c r="F32" s="12" t="s">
        <v>3</v>
      </c>
      <c r="G32" s="1"/>
    </row>
    <row r="33" spans="1:7" x14ac:dyDescent="0.25">
      <c r="A33" s="1"/>
      <c r="B33" s="86" t="s">
        <v>33</v>
      </c>
      <c r="C33" s="86"/>
      <c r="D33" s="86"/>
      <c r="E33" s="8">
        <v>0</v>
      </c>
      <c r="F33" s="12" t="s">
        <v>3</v>
      </c>
      <c r="G33" s="1"/>
    </row>
    <row r="34" spans="1:7" x14ac:dyDescent="0.25">
      <c r="A34" s="1"/>
      <c r="B34" s="87" t="s">
        <v>138</v>
      </c>
      <c r="C34" s="87"/>
      <c r="D34" s="87"/>
      <c r="E34" s="9">
        <f>E31-(E32-E33)</f>
        <v>-105456.57090282068</v>
      </c>
      <c r="F34" s="15" t="s">
        <v>3</v>
      </c>
      <c r="G34" s="1"/>
    </row>
    <row r="35" spans="1:7" x14ac:dyDescent="0.25">
      <c r="A35" s="1"/>
      <c r="B35" s="82"/>
      <c r="C35" s="83"/>
      <c r="D35" s="83"/>
      <c r="E35" s="83"/>
      <c r="F35" s="84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5" t="s">
        <v>130</v>
      </c>
      <c r="C38" s="85"/>
      <c r="D38" s="85"/>
      <c r="E38" s="85"/>
      <c r="F38" s="85"/>
      <c r="G38" s="1"/>
    </row>
    <row r="39" spans="1:7" x14ac:dyDescent="0.25">
      <c r="A39" s="1"/>
      <c r="B39" s="91" t="s">
        <v>36</v>
      </c>
      <c r="C39" s="91"/>
      <c r="D39" s="91"/>
      <c r="E39" s="8">
        <f>E9</f>
        <v>-184448.99458921675</v>
      </c>
      <c r="F39" s="12" t="s">
        <v>3</v>
      </c>
      <c r="G39" s="1"/>
    </row>
    <row r="40" spans="1:7" x14ac:dyDescent="0.25">
      <c r="A40" s="1"/>
      <c r="B40" s="91" t="s">
        <v>135</v>
      </c>
      <c r="C40" s="91"/>
      <c r="D40" s="91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91" t="s">
        <v>73</v>
      </c>
      <c r="C41" s="91"/>
      <c r="D41" s="91"/>
      <c r="E41" s="8">
        <v>2</v>
      </c>
      <c r="F41" s="12" t="s">
        <v>19</v>
      </c>
      <c r="G41" s="1"/>
    </row>
    <row r="42" spans="1:7" x14ac:dyDescent="0.25">
      <c r="A42" s="1"/>
      <c r="B42" s="87" t="s">
        <v>133</v>
      </c>
      <c r="C42" s="87"/>
      <c r="D42" s="87"/>
      <c r="E42" s="9">
        <f>SUM(E39)/E41</f>
        <v>-92224.497294608373</v>
      </c>
      <c r="F42" s="15" t="s">
        <v>3</v>
      </c>
      <c r="G42" s="1"/>
    </row>
    <row r="43" spans="1:7" x14ac:dyDescent="0.25">
      <c r="A43" s="1"/>
      <c r="B43" s="87" t="s">
        <v>134</v>
      </c>
      <c r="C43" s="87"/>
      <c r="D43" s="87"/>
      <c r="E43" s="9">
        <f>E40/E41</f>
        <v>0</v>
      </c>
      <c r="F43" s="15" t="s">
        <v>3</v>
      </c>
      <c r="G43" s="1"/>
    </row>
    <row r="44" spans="1:7" x14ac:dyDescent="0.25">
      <c r="A44" s="1"/>
      <c r="B44" s="85"/>
      <c r="C44" s="85"/>
      <c r="D44" s="85"/>
      <c r="E44" s="85"/>
      <c r="F44" s="85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B0PPRh1codcH89juV2qwc0I0VGwZ2UD2vbUVQlNSejAQKzh2QzFSWdJT6aS6Q7arfO5f5+UPCtgVT8kozWk6Hw==" saltValue="i314gSTyIRd/Od+r3LsiFw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139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2" t="s">
        <v>117</v>
      </c>
      <c r="C8" s="83"/>
      <c r="D8" s="83"/>
      <c r="E8" s="83"/>
      <c r="F8" s="83"/>
      <c r="G8" s="83"/>
      <c r="H8" s="84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3" t="s">
        <v>2</v>
      </c>
      <c r="F9" s="43" t="s">
        <v>11</v>
      </c>
      <c r="G9" s="43" t="s">
        <v>30</v>
      </c>
      <c r="H9" s="46"/>
      <c r="I9" s="1"/>
    </row>
    <row r="10" spans="1:9" x14ac:dyDescent="0.25">
      <c r="A10" s="1"/>
      <c r="B10" s="34" t="s">
        <v>157</v>
      </c>
      <c r="C10" s="35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2" t="s">
        <v>118</v>
      </c>
      <c r="C11" s="83"/>
      <c r="D11" s="84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k7niaoABOg+Szjz4E2/W8CkUC+9Aac+tmlvE/q7/fZGA7saLfcdpRpBiNoD78AnsUtMWeRKfc8ZAYZVGUKQoA==" saltValue="PdF6Pcs/rAxQjrBQ9ruR1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2020-10-14T06:33:15Z</dcterms:modified>
</cp:coreProperties>
</file>