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HOFOR Spildevand Herlev AS (S043)\ØR2027\"/>
    </mc:Choice>
  </mc:AlternateContent>
  <xr:revisionPtr revIDLastSave="0" documentId="13_ncr:1_{1475DC37-DB9D-4E97-AF45-0E76312001D7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tillæg'!$A$1:$G$23</definedName>
    <definedName name="BlåBlok_53">'5.3. Engangstillæg'!$A$1:$G$17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Engangstillæg'!$B$8:$F$15</definedName>
    <definedName name="EngTillæg_Tabel_Værdi">'5.3. Engangstillæg'!$B$15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tillæg'!$A$1:$G$23</definedName>
    <definedName name="_xlnm.Print_Area" localSheetId="8">'5.3. Engangstillæg'!$A$1:$G$17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tillæg'!$B$8:$F$21</definedName>
    <definedName name="VarigeTillæg_Tabel_KS">'5.2. Varige tillæg'!$B$19</definedName>
    <definedName name="VarigeTillæg_Tabel_SletSmå">'5.2. Varige tillæg'!$B$18:$F$18</definedName>
    <definedName name="VarigeTillæg_Tabel_Værdi">'5.2. Varige tillæg'!$B$17</definedName>
    <definedName name="VarigeTillæg_Tabel_Værdi_korr">'5.2. Varige tillæg'!$B$21</definedName>
    <definedName name="ØR_SidsteÅr_Tabel">'3. Omk. i ØR2026'!$B$8:$D$24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0" i="3" s="1"/>
  <c r="C11" i="11"/>
  <c r="C10" i="11"/>
  <c r="E15" i="10"/>
  <c r="C15" i="10"/>
  <c r="E17" i="9"/>
  <c r="E18" i="9" s="1"/>
  <c r="C17" i="9"/>
  <c r="C19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9" i="7" s="1"/>
  <c r="C25" i="7"/>
  <c r="C18" i="3" s="1"/>
  <c r="C16" i="6"/>
  <c r="C12" i="11" l="1"/>
  <c r="C19" i="3" s="1"/>
  <c r="C13" i="3"/>
  <c r="C20" i="7"/>
  <c r="C11" i="4" s="1"/>
  <c r="C12" i="4" s="1"/>
  <c r="C15" i="4" s="1"/>
  <c r="C19" i="4" s="1"/>
  <c r="C24" i="4" s="1"/>
  <c r="C12" i="3"/>
  <c r="C18" i="9"/>
  <c r="C20" i="9" s="1"/>
  <c r="C21" i="9" s="1"/>
  <c r="E19" i="9"/>
  <c r="E20" i="9" s="1"/>
  <c r="E21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3" i="3" s="1"/>
</calcChain>
</file>

<file path=xl/sharedStrings.xml><?xml version="1.0" encoding="utf-8"?>
<sst xmlns="http://schemas.openxmlformats.org/spreadsheetml/2006/main" count="345" uniqueCount="160">
  <si>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</si>
  <si>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</si>
  <si>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</si>
  <si>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</si>
  <si>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</si>
  <si>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</si>
  <si>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</si>
  <si>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</si>
  <si>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</si>
  <si>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</si>
  <si>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</si>
  <si>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</si>
  <si>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</si>
  <si>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</si>
  <si>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</si>
  <si>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</si>
  <si>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</si>
  <si>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</si>
  <si>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</si>
  <si>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</si>
  <si>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</si>
  <si>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</si>
  <si>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</si>
  <si>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</si>
  <si>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</si>
  <si>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</si>
  <si>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</si>
  <si>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</si>
  <si>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</si>
  <si>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</si>
  <si>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</si>
  <si>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</si>
  <si>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</si>
  <si>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</si>
  <si>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</si>
  <si>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</si>
  <si>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</si>
  <si>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</si>
  <si>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</si>
  <si>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</si>
  <si>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</si>
  <si>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</si>
  <si>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</si>
  <si>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</si>
  <si>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</si>
  <si>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</si>
  <si>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</si>
  <si>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</si>
  <si>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</si>
  <si>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</si>
  <si>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</si>
  <si>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</si>
  <si>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</si>
  <si>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</si>
  <si>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</si>
  <si>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</si>
  <si>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</si>
  <si>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</si>
  <si>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</si>
  <si>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</si>
  <si>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</si>
  <si>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</si>
  <si>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</si>
  <si>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</si>
  <si>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</si>
  <si>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</si>
  <si>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</si>
  <si>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</si>
  <si>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</si>
  <si>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</si>
  <si>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</si>
  <si>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</si>
  <si>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</si>
  <si>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</si>
  <si>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</si>
  <si>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</si>
  <si>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</si>
  <si>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</si>
  <si>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</si>
  <si>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</si>
  <si>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</si>
  <si>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</si>
  <si>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</si>
  <si>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</si>
  <si>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</si>
  <si>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</si>
  <si>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</si>
  <si>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</si>
  <si>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</si>
  <si>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</si>
  <si>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</si>
  <si>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</si>
  <si>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</si>
  <si>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</si>
  <si>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</si>
  <si>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</si>
  <si>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</si>
  <si>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</si>
  <si>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</si>
  <si>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</si>
  <si>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</si>
  <si>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</si>
  <si>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</si>
  <si>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</si>
  <si>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</si>
  <si>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</si>
  <si>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</si>
  <si>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</si>
  <si>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</si>
  <si>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</si>
  <si>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</si>
  <si>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</si>
  <si>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</si>
  <si>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</si>
  <si>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</si>
  <si>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</si>
  <si>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</si>
  <si>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</si>
  <si>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</si>
  <si>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</si>
  <si>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</si>
  <si>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</si>
  <si>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</si>
  <si>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</si>
  <si>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</si>
  <si>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</si>
  <si>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</si>
  <si>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</si>
  <si>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</si>
  <si>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</si>
  <si>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</si>
  <si>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</si>
  <si>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</si>
  <si>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</si>
  <si>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</si>
  <si>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</si>
  <si>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</si>
  <si>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</si>
  <si>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</si>
  <si>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</si>
  <si>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</si>
  <si>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</si>
  <si>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</si>
  <si>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</si>
  <si>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</si>
  <si>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</si>
  <si>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Akkumuleret restskat</t>
  </si>
  <si>
    <t>Gebyr til Miljøstyrelsen</t>
  </si>
  <si>
    <t>Bassin Fuglehøj</t>
  </si>
  <si>
    <t>CSRD</t>
  </si>
  <si>
    <t>NIS 2</t>
  </si>
  <si>
    <t>Brønde Herlev Ringvej mv.</t>
  </si>
  <si>
    <t>Letbane Ring 3</t>
  </si>
  <si>
    <t>Øget indbyggerantal</t>
  </si>
  <si>
    <t>Harrestrup Å</t>
  </si>
  <si>
    <t>Periodevise driftsomkostninger - opr. bas. Hanevad</t>
  </si>
  <si>
    <t>Engangsfradrag som følge af korrigerede oplysninger (§ 49)</t>
  </si>
  <si>
    <t>Udviklingsprojekt Harrestrup Å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</si>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</sst>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XLG51MwOJRP6NlrOdYyh4ZMQWXqy4r9Nwapyo/869eNxcsPpxAADzKk56kNfyxl70PIeufTqZ6jXHvPjI40mNw==" saltValue="dMmQwL+JloNA+bCL1BX2bg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35567166.832076445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tillæg'!C21+'5.2. Varige tillæg'!E21</f>
        <v>739422.64395602746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-1831386.4393999998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-389555.27512784011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-205629.64622972746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979132.52353144449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34859150.638806343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163620.63563572176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-1432562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-11079320</v>
      </c>
      <c r="D21" s="39" t="s">
        <v>31</v>
      </c>
      <c r="E21" s="11"/>
    </row>
    <row r="22" spans="1:5" ht="15" customHeight="1" x14ac:dyDescent="0.25">
      <c r="A22" s="11"/>
      <c r="B22" s="38" t="s">
        <v>156</v>
      </c>
      <c r="C22" s="34">
        <v>-1810693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20700196.274442062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fO1TgSJgcW4Kn/twpbOj8NL6urGERObu9Z7OhW9p3lP5eCTHYFlUkkWoTgxOg/mrPCWpLiLBipN0XlBaHVmcEw==" saltValue="DDpLA+smyMr+qX/KQ2iC7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1.285156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82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83</v>
      </c>
      <c r="C8" s="26"/>
      <c r="D8" s="27"/>
      <c r="E8" s="11"/>
    </row>
    <row r="9" spans="1:5" ht="15" customHeight="1" x14ac:dyDescent="0.25">
      <c r="A9" s="11"/>
      <c r="B9" s="44" t="s">
        <v>127</v>
      </c>
      <c r="C9" s="45">
        <v>54679552</v>
      </c>
      <c r="D9" s="46" t="s">
        <v>31</v>
      </c>
      <c r="E9" s="11"/>
    </row>
    <row r="10" spans="1:5" ht="15" customHeight="1" x14ac:dyDescent="0.25">
      <c r="A10" s="11"/>
      <c r="B10" s="44" t="s">
        <v>129</v>
      </c>
      <c r="C10" s="45">
        <f>'3. Omk. i ØR2026'!C10</f>
        <v>45462.295647999999</v>
      </c>
      <c r="D10" s="46" t="s">
        <v>31</v>
      </c>
      <c r="E10" s="11"/>
    </row>
    <row r="11" spans="1:5" ht="15" customHeight="1" x14ac:dyDescent="0.25">
      <c r="A11" s="11"/>
      <c r="B11" s="44" t="s">
        <v>130</v>
      </c>
      <c r="C11" s="47">
        <f>'5.1. § 10-tillæg'!C20+'5.2. Varige tillæg'!C17+'5.2. Varige tillæg'!E17+'5.3. Engangstillæg'!C15+'5.3. Engangstillæg'!E15</f>
        <v>6842818.9321873495</v>
      </c>
      <c r="D11" s="46" t="s">
        <v>31</v>
      </c>
      <c r="E11" s="11"/>
    </row>
    <row r="12" spans="1:5" ht="15" customHeight="1" x14ac:dyDescent="0.25">
      <c r="A12" s="11"/>
      <c r="B12" s="35" t="s">
        <v>128</v>
      </c>
      <c r="C12" s="36">
        <f>C9+C10+C11</f>
        <v>61567833.22783535</v>
      </c>
      <c r="D12" s="37" t="s">
        <v>31</v>
      </c>
      <c r="E12" s="11"/>
    </row>
    <row r="13" spans="1:5" ht="15" customHeight="1" x14ac:dyDescent="0.25">
      <c r="A13" s="11"/>
      <c r="B13" s="44" t="s">
        <v>84</v>
      </c>
      <c r="C13" s="45">
        <v>51487190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131</v>
      </c>
      <c r="C15" s="41">
        <f>C12-C13</f>
        <v>10080643.22783535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85</v>
      </c>
      <c r="C17" s="26"/>
      <c r="D17" s="27"/>
      <c r="E17" s="11"/>
    </row>
    <row r="18" spans="1:5" ht="15" customHeight="1" x14ac:dyDescent="0.25">
      <c r="A18" s="11"/>
      <c r="B18" s="44" t="s">
        <v>126</v>
      </c>
      <c r="C18" s="45">
        <v>4048640</v>
      </c>
      <c r="D18" s="46" t="s">
        <v>31</v>
      </c>
      <c r="E18" s="11"/>
    </row>
    <row r="19" spans="1:5" ht="15" customHeight="1" x14ac:dyDescent="0.25">
      <c r="A19" s="11"/>
      <c r="B19" s="25" t="s">
        <v>140</v>
      </c>
      <c r="C19" s="41">
        <f>C15+C18</f>
        <v>14129283.22783535</v>
      </c>
      <c r="D19" s="27" t="s">
        <v>31</v>
      </c>
      <c r="E19" s="11"/>
    </row>
    <row r="20" spans="1:5" ht="32.25" customHeight="1" x14ac:dyDescent="0.25">
      <c r="A20" s="11"/>
      <c r="B20" s="49" t="s">
        <v>158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141</v>
      </c>
      <c r="C22" s="26"/>
      <c r="D22" s="27"/>
      <c r="E22" s="11"/>
    </row>
    <row r="23" spans="1:5" ht="15" customHeight="1" x14ac:dyDescent="0.25">
      <c r="A23" s="11"/>
      <c r="B23" s="52" t="s">
        <v>142</v>
      </c>
      <c r="C23" s="53">
        <f>100*4048640/(45416865+4048640)</f>
        <v>8.1847744200731398</v>
      </c>
      <c r="D23" s="46" t="s">
        <v>143</v>
      </c>
      <c r="E23" s="11"/>
    </row>
    <row r="24" spans="1:5" ht="15" customHeight="1" x14ac:dyDescent="0.25">
      <c r="A24" s="11"/>
      <c r="B24" s="52" t="s">
        <v>144</v>
      </c>
      <c r="C24" s="53">
        <f>C19/C12*100</f>
        <v>22.949131855183396</v>
      </c>
      <c r="D24" s="46" t="s">
        <v>143</v>
      </c>
      <c r="E24" s="11"/>
    </row>
    <row r="25" spans="1:5" ht="56.25" customHeight="1" x14ac:dyDescent="0.25">
      <c r="A25" s="11"/>
      <c r="B25" s="54" t="s">
        <v>145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F9qQ0kqFamczOAZkeTSoi+8H5X/ZFcHyc7Wm9EUQzAgWZg1FAqTeXQEm+jqzvyIGqbpX4m11xX12fFEyA4D0TQ==" saltValue="0ctD+p6ChskjirTi5BwsQ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86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134</v>
      </c>
      <c r="C8" s="60"/>
      <c r="D8" s="61"/>
      <c r="E8" s="57"/>
    </row>
    <row r="9" spans="1:5" ht="15" customHeight="1" x14ac:dyDescent="0.25">
      <c r="A9" s="57"/>
      <c r="B9" s="62" t="s">
        <v>121</v>
      </c>
      <c r="C9" s="63">
        <v>35111757.757330775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45462.295647999999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-397261.78018198832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-191810.89979995228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999019.45907960855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35567166.832076445</v>
      </c>
      <c r="D17" s="71" t="s">
        <v>31</v>
      </c>
      <c r="E17" s="57"/>
    </row>
    <row r="18" spans="1:5" ht="15" customHeight="1" x14ac:dyDescent="0.25">
      <c r="A18" s="57"/>
      <c r="B18" s="72" t="s">
        <v>122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167045.88382903367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0</v>
      </c>
      <c r="D20" s="77" t="s">
        <v>31</v>
      </c>
      <c r="E20" s="57"/>
    </row>
    <row r="21" spans="1:5" ht="15" customHeight="1" x14ac:dyDescent="0.25">
      <c r="A21" s="57"/>
      <c r="B21" s="62" t="s">
        <v>123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159</v>
      </c>
      <c r="C23" s="78">
        <v>35734212.71590548</v>
      </c>
      <c r="D23" s="61" t="s">
        <v>31</v>
      </c>
      <c r="E23" s="57"/>
    </row>
    <row r="24" spans="1:5" ht="30" customHeight="1" x14ac:dyDescent="0.25">
      <c r="A24" s="57"/>
      <c r="B24" s="79" t="s">
        <v>135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mnV5bGTcP9T4+ogEdiznnupMV6xlOCHNpM78dY6wwJQkw2+BM7eAKFvLoE1idMlB9HL/skEkXkdVerjpxilGfw==" saltValue="xj/UODGoS8TccYrgRHUGp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87</v>
      </c>
      <c r="C8" s="84"/>
      <c r="D8" s="85"/>
      <c r="E8" s="11"/>
    </row>
    <row r="9" spans="1:5" ht="15" customHeight="1" x14ac:dyDescent="0.25">
      <c r="A9" s="11"/>
      <c r="B9" s="52" t="s">
        <v>88</v>
      </c>
      <c r="C9" s="2">
        <v>9867711.7402085438</v>
      </c>
      <c r="D9" s="46" t="s">
        <v>31</v>
      </c>
      <c r="E9" s="11"/>
    </row>
    <row r="10" spans="1:5" ht="15" customHeight="1" x14ac:dyDescent="0.25">
      <c r="A10" s="11"/>
      <c r="B10" s="86" t="s">
        <v>89</v>
      </c>
      <c r="C10" s="3">
        <f>-'8. Nøgletal'!C19*C9</f>
        <v>-197354.23480417088</v>
      </c>
      <c r="D10" s="46" t="s">
        <v>31</v>
      </c>
      <c r="E10" s="11"/>
    </row>
    <row r="11" spans="1:5" ht="15" customHeight="1" x14ac:dyDescent="0.25">
      <c r="A11" s="11"/>
      <c r="B11" s="86" t="s">
        <v>90</v>
      </c>
      <c r="C11" s="2">
        <f>('5.2. Varige tillæg'!C17)*(1+'8. Nøgletal'!C9)*(1-'8. Nøgletal'!C19)+'5.6 Anlægsprojekter'!C12-'6. Bortfald'!C12+'7. Tilknyttet virksomhed'!C12</f>
        <v>611124.80608199991</v>
      </c>
      <c r="D11" s="46" t="s">
        <v>31</v>
      </c>
      <c r="E11" s="11"/>
    </row>
    <row r="12" spans="1:5" ht="15" customHeight="1" x14ac:dyDescent="0.25">
      <c r="A12" s="11"/>
      <c r="B12" s="52" t="s">
        <v>91</v>
      </c>
      <c r="C12" s="2">
        <f>SUM(C9:C11)</f>
        <v>10281482.311486373</v>
      </c>
      <c r="D12" s="46" t="s">
        <v>31</v>
      </c>
      <c r="E12" s="11"/>
    </row>
    <row r="13" spans="1:5" ht="15" customHeight="1" x14ac:dyDescent="0.25">
      <c r="A13" s="11"/>
      <c r="B13" s="87" t="s">
        <v>92</v>
      </c>
      <c r="C13" s="88">
        <f>-C12*'8. Nøgletal'!C19</f>
        <v>-205629.64622972746</v>
      </c>
      <c r="D13" s="89" t="s">
        <v>31</v>
      </c>
      <c r="E13" s="90"/>
    </row>
    <row r="14" spans="1:5" ht="15" customHeight="1" x14ac:dyDescent="0.25">
      <c r="A14" s="11"/>
      <c r="B14" s="83" t="s">
        <v>93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28667843.17986289</v>
      </c>
      <c r="D15" s="46" t="s">
        <v>31</v>
      </c>
      <c r="E15" s="11"/>
    </row>
    <row r="16" spans="1:5" ht="15" customHeight="1" x14ac:dyDescent="0.25">
      <c r="A16" s="11"/>
      <c r="B16" s="86" t="s">
        <v>89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94</v>
      </c>
      <c r="C17" s="2">
        <f>('5.2. Varige tillæg'!E17)*(1+'8. Nøgletal'!C9)*(1-'8. Nøgletal'!C14)+'5.6 Anlægsprojekter'!E12-'6. Bortfald'!E12+'7. Tilknyttet virksomhed'!E12</f>
        <v>-1694495.4099999997</v>
      </c>
      <c r="D17" s="46" t="s">
        <v>31</v>
      </c>
      <c r="E17" s="11"/>
    </row>
    <row r="18" spans="1:5" ht="15" customHeight="1" x14ac:dyDescent="0.25">
      <c r="A18" s="11"/>
      <c r="B18" s="52" t="s">
        <v>95</v>
      </c>
      <c r="C18" s="2">
        <f>SUM(C15:C17)</f>
        <v>26973347.76986289</v>
      </c>
      <c r="D18" s="46" t="s">
        <v>31</v>
      </c>
      <c r="E18" s="11"/>
    </row>
    <row r="19" spans="1:5" ht="15" customHeight="1" x14ac:dyDescent="0.25">
      <c r="A19" s="11"/>
      <c r="B19" s="87" t="s">
        <v>96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97</v>
      </c>
      <c r="C20" s="41">
        <f>C13+C19</f>
        <v>-205629.64622972746</v>
      </c>
      <c r="D20" s="27" t="s">
        <v>31</v>
      </c>
      <c r="E20" s="11"/>
    </row>
    <row r="21" spans="1:5" ht="39.950000000000003" customHeight="1" x14ac:dyDescent="0.25">
      <c r="A21" s="11"/>
      <c r="B21" s="91" t="s">
        <v>124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AKsqVyDxEyPv+jLWthzhoNVI+37gYgQ3JUkinU3s0izeRsTBlFC++GaNflWTUMQ/6UcLMgCAWL1HbQMo90k76w==" saltValue="ytitF+3OBPnUPOfLx2RcR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98</v>
      </c>
      <c r="C8" s="95"/>
      <c r="D8" s="96"/>
      <c r="E8" s="11"/>
    </row>
    <row r="9" spans="1:5" ht="15" customHeight="1" x14ac:dyDescent="0.25">
      <c r="A9" s="11"/>
      <c r="B9" s="97" t="s">
        <v>146</v>
      </c>
      <c r="C9" s="33">
        <f>'5.1.a. § 10-tillæg'!E9</f>
        <v>385081</v>
      </c>
      <c r="D9" s="46" t="s">
        <v>31</v>
      </c>
      <c r="E9" s="11"/>
    </row>
    <row r="10" spans="1:5" ht="15" customHeight="1" x14ac:dyDescent="0.25">
      <c r="A10" s="11"/>
      <c r="B10" s="97" t="s">
        <v>136</v>
      </c>
      <c r="C10" s="33">
        <f>'5.1.a. § 10-tillæg'!E10</f>
        <v>1012.3628036799928</v>
      </c>
      <c r="D10" s="46" t="s">
        <v>31</v>
      </c>
      <c r="E10" s="11"/>
    </row>
    <row r="11" spans="1:5" ht="27" customHeight="1" x14ac:dyDescent="0.25">
      <c r="A11" s="11"/>
      <c r="B11" s="97" t="s">
        <v>137</v>
      </c>
      <c r="C11" s="33">
        <f>'5.1.a. § 10-tillæg'!E11</f>
        <v>2801397.8210704494</v>
      </c>
      <c r="D11" s="46" t="s">
        <v>31</v>
      </c>
      <c r="E11" s="11"/>
    </row>
    <row r="12" spans="1:5" ht="15" customHeight="1" x14ac:dyDescent="0.25">
      <c r="A12" s="11"/>
      <c r="B12" s="97" t="s">
        <v>138</v>
      </c>
      <c r="C12" s="33">
        <f>'5.1.a. § 10-tillæg'!E12</f>
        <v>83729.748313219985</v>
      </c>
      <c r="D12" s="46" t="s">
        <v>31</v>
      </c>
      <c r="E12" s="11"/>
    </row>
    <row r="13" spans="1:5" ht="15" customHeight="1" x14ac:dyDescent="0.25">
      <c r="A13" s="11"/>
      <c r="B13" s="98" t="s">
        <v>147</v>
      </c>
      <c r="C13" s="99">
        <v>46389</v>
      </c>
      <c r="D13" s="46" t="s">
        <v>31</v>
      </c>
      <c r="E13" s="11"/>
    </row>
    <row r="14" spans="1:5" ht="15" customHeight="1" x14ac:dyDescent="0.25">
      <c r="A14" s="11"/>
      <c r="B14" s="98"/>
      <c r="C14" s="99"/>
      <c r="D14" s="46" t="s">
        <v>31</v>
      </c>
      <c r="E14" s="11"/>
    </row>
    <row r="15" spans="1:5" ht="15" customHeight="1" x14ac:dyDescent="0.25">
      <c r="A15" s="11"/>
      <c r="B15" s="98"/>
      <c r="C15" s="99"/>
      <c r="D15" s="46" t="s">
        <v>31</v>
      </c>
      <c r="E15" s="11"/>
    </row>
    <row r="16" spans="1:5" ht="15" customHeight="1" x14ac:dyDescent="0.25">
      <c r="A16" s="11"/>
      <c r="B16" s="98"/>
      <c r="C16" s="99"/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98"/>
      <c r="C19" s="99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3317609.9321873495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4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zb9Uv6ow1jVFmX/pVFCv9ZdjbCQ0A/rXZOzB11UXBbUNQcZjnWby8Xb15CVPP2C1ulPq/994KLxOfgO1YOpHVg==" saltValue="w+/0q5jrTkQ0BBK/tJRQn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99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125</v>
      </c>
      <c r="C8" s="106" t="s">
        <v>100</v>
      </c>
      <c r="D8" s="107" t="s">
        <v>101</v>
      </c>
      <c r="E8" s="107" t="s">
        <v>102</v>
      </c>
      <c r="F8" s="27"/>
      <c r="G8" s="11"/>
    </row>
    <row r="9" spans="1:7" ht="15" customHeight="1" x14ac:dyDescent="0.25">
      <c r="A9" s="11"/>
      <c r="B9" s="97" t="s">
        <v>146</v>
      </c>
      <c r="C9" s="33">
        <v>0</v>
      </c>
      <c r="D9" s="33">
        <v>385081</v>
      </c>
      <c r="E9" s="33">
        <f>MAX(D9-C9,0)</f>
        <v>385081</v>
      </c>
      <c r="F9" s="46" t="s">
        <v>31</v>
      </c>
      <c r="G9" s="11"/>
    </row>
    <row r="10" spans="1:7" ht="15" customHeight="1" x14ac:dyDescent="0.25">
      <c r="A10" s="11"/>
      <c r="B10" s="97" t="s">
        <v>136</v>
      </c>
      <c r="C10" s="33">
        <v>78825.637196320007</v>
      </c>
      <c r="D10" s="33">
        <v>79838</v>
      </c>
      <c r="E10" s="33">
        <f t="shared" ref="E10:E19" si="0">MAX(D10-C10,0)</f>
        <v>1012.3628036799928</v>
      </c>
      <c r="F10" s="46" t="s">
        <v>31</v>
      </c>
      <c r="G10" s="11"/>
    </row>
    <row r="11" spans="1:7" ht="37.5" customHeight="1" x14ac:dyDescent="0.25">
      <c r="A11" s="11"/>
      <c r="B11" s="97" t="s">
        <v>137</v>
      </c>
      <c r="C11" s="33">
        <v>11748798.178929551</v>
      </c>
      <c r="D11" s="33">
        <v>14550196</v>
      </c>
      <c r="E11" s="33">
        <f t="shared" si="0"/>
        <v>2801397.8210704494</v>
      </c>
      <c r="F11" s="46" t="s">
        <v>31</v>
      </c>
      <c r="G11" s="11"/>
    </row>
    <row r="12" spans="1:7" ht="15" customHeight="1" x14ac:dyDescent="0.25">
      <c r="A12" s="11"/>
      <c r="B12" s="97" t="s">
        <v>138</v>
      </c>
      <c r="C12" s="33">
        <v>644292.25168678002</v>
      </c>
      <c r="D12" s="33">
        <v>728022</v>
      </c>
      <c r="E12" s="33">
        <f t="shared" si="0"/>
        <v>83729.748313219985</v>
      </c>
      <c r="F12" s="46" t="s">
        <v>31</v>
      </c>
      <c r="G12" s="11"/>
    </row>
    <row r="13" spans="1:7" ht="15" hidden="1" customHeight="1" x14ac:dyDescent="0.25">
      <c r="A13" s="11"/>
      <c r="B13" s="98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103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tDqgiLkqk7SO9W+FjK4ooqX1rdXydPoE+QIAfI2unNTZ43wjssyCo9IyWnIz+tGTCtMzuAv8Es17y8SYmAY41g==" saltValue="A53O6KwIOia2bAWstKCNo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148</v>
      </c>
      <c r="C10" s="33">
        <v>0</v>
      </c>
      <c r="D10" s="46" t="s">
        <v>31</v>
      </c>
      <c r="E10" s="33">
        <v>80211</v>
      </c>
      <c r="F10" s="46" t="s">
        <v>31</v>
      </c>
      <c r="G10" s="11"/>
    </row>
    <row r="11" spans="1:7" ht="15" customHeight="1" x14ac:dyDescent="0.25">
      <c r="A11" s="11"/>
      <c r="B11" s="112" t="s">
        <v>149</v>
      </c>
      <c r="C11" s="33">
        <v>33914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150</v>
      </c>
      <c r="C12" s="33">
        <v>141829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2" t="s">
        <v>151</v>
      </c>
      <c r="C13" s="33">
        <v>0</v>
      </c>
      <c r="D13" s="46" t="s">
        <v>31</v>
      </c>
      <c r="E13" s="33">
        <v>16467</v>
      </c>
      <c r="F13" s="46" t="s">
        <v>31</v>
      </c>
      <c r="G13" s="11"/>
    </row>
    <row r="14" spans="1:7" ht="15" customHeight="1" x14ac:dyDescent="0.25">
      <c r="A14" s="11"/>
      <c r="B14" s="112" t="s">
        <v>152</v>
      </c>
      <c r="C14" s="33">
        <v>0</v>
      </c>
      <c r="D14" s="46" t="s">
        <v>31</v>
      </c>
      <c r="E14" s="33">
        <v>36368</v>
      </c>
      <c r="F14" s="46" t="s">
        <v>31</v>
      </c>
      <c r="G14" s="11"/>
    </row>
    <row r="15" spans="1:7" ht="15" customHeight="1" x14ac:dyDescent="0.25">
      <c r="A15" s="11"/>
      <c r="B15" s="112" t="s">
        <v>153</v>
      </c>
      <c r="C15" s="33">
        <v>359714</v>
      </c>
      <c r="D15" s="46" t="s">
        <v>31</v>
      </c>
      <c r="E15" s="33">
        <v>0</v>
      </c>
      <c r="F15" s="46" t="s">
        <v>31</v>
      </c>
      <c r="G15" s="11"/>
    </row>
    <row r="16" spans="1:7" ht="15" customHeight="1" x14ac:dyDescent="0.25">
      <c r="A16" s="11"/>
      <c r="B16" s="112" t="s">
        <v>155</v>
      </c>
      <c r="C16" s="33">
        <v>70624</v>
      </c>
      <c r="D16" s="46" t="s">
        <v>31</v>
      </c>
      <c r="E16" s="33">
        <v>0</v>
      </c>
      <c r="F16" s="46" t="s">
        <v>31</v>
      </c>
      <c r="G16" s="11"/>
    </row>
    <row r="17" spans="1:7" ht="15" customHeight="1" x14ac:dyDescent="0.25">
      <c r="A17" s="11"/>
      <c r="B17" s="25" t="s">
        <v>104</v>
      </c>
      <c r="C17" s="100">
        <f>SUM(C10:C16)</f>
        <v>606081</v>
      </c>
      <c r="D17" s="101" t="s">
        <v>31</v>
      </c>
      <c r="E17" s="100">
        <f>SUM(E10:E16)</f>
        <v>133046</v>
      </c>
      <c r="F17" s="101" t="s">
        <v>31</v>
      </c>
      <c r="G17" s="11"/>
    </row>
    <row r="18" spans="1:7" ht="15" customHeight="1" x14ac:dyDescent="0.25">
      <c r="A18" s="11"/>
      <c r="B18" s="112" t="s">
        <v>35</v>
      </c>
      <c r="C18" s="33">
        <f>-C17*'8. Nøgletal'!C23</f>
        <v>-6848.4600497894226</v>
      </c>
      <c r="D18" s="46" t="s">
        <v>31</v>
      </c>
      <c r="E18" s="33">
        <f>-E17*'8. Nøgletal'!C23</f>
        <v>-1503.3637678532796</v>
      </c>
      <c r="F18" s="46" t="s">
        <v>31</v>
      </c>
      <c r="G18" s="11"/>
    </row>
    <row r="19" spans="1:7" ht="15" customHeight="1" x14ac:dyDescent="0.25">
      <c r="A19" s="11"/>
      <c r="B19" s="112" t="s">
        <v>36</v>
      </c>
      <c r="C19" s="33">
        <f>-C17*'8. Nøgletal'!C19</f>
        <v>-12121.62</v>
      </c>
      <c r="D19" s="46" t="s">
        <v>31</v>
      </c>
      <c r="E19" s="33">
        <f>-E17*'8. Nøgletal'!C14</f>
        <v>0</v>
      </c>
      <c r="F19" s="46" t="s">
        <v>31</v>
      </c>
      <c r="G19" s="11"/>
    </row>
    <row r="20" spans="1:7" ht="15" customHeight="1" x14ac:dyDescent="0.25">
      <c r="A20" s="11"/>
      <c r="B20" s="112" t="s">
        <v>37</v>
      </c>
      <c r="C20" s="33">
        <f>SUM(C17:C19)*'8. Nøgletal'!C9</f>
        <v>16967.505586561085</v>
      </c>
      <c r="D20" s="46" t="s">
        <v>31</v>
      </c>
      <c r="E20" s="33">
        <f>SUM(E17:E19)*'8. Nøgletal'!C9</f>
        <v>3801.5821871090402</v>
      </c>
      <c r="F20" s="46" t="s">
        <v>31</v>
      </c>
      <c r="G20" s="11"/>
    </row>
    <row r="21" spans="1:7" ht="26.25" customHeight="1" x14ac:dyDescent="0.25">
      <c r="A21" s="11"/>
      <c r="B21" s="105" t="s">
        <v>105</v>
      </c>
      <c r="C21" s="100">
        <f>SUM(C17:C20)</f>
        <v>604078.42553677165</v>
      </c>
      <c r="D21" s="101" t="s">
        <v>31</v>
      </c>
      <c r="E21" s="100">
        <f>SUM(E17:E20)</f>
        <v>135344.21841925578</v>
      </c>
      <c r="F21" s="101" t="s">
        <v>31</v>
      </c>
      <c r="G21" s="11"/>
    </row>
    <row r="22" spans="1:7" ht="15" customHeight="1" x14ac:dyDescent="0.25">
      <c r="A22" s="11"/>
      <c r="B22" s="11"/>
      <c r="C22" s="11"/>
      <c r="D22" s="11"/>
      <c r="E22" s="11"/>
      <c r="F22" s="11"/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</sheetData>
  <sheetProtection algorithmName="SHA-512" hashValue="1Vt0hMH0hPVAsIgqr+dHc2U16kMGqAZwXp+QiAC9ZJCZHzC8Ro68U/IYkFfLO3JaKQ0KzJuedF30vlg5pxAFHQ==" saltValue="s8eUUfuna68FXwefMHooJ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148</v>
      </c>
      <c r="C10" s="33">
        <v>0</v>
      </c>
      <c r="D10" s="46" t="s">
        <v>31</v>
      </c>
      <c r="E10" s="33">
        <v>69197</v>
      </c>
      <c r="F10" s="46" t="s">
        <v>31</v>
      </c>
      <c r="G10" s="11"/>
    </row>
    <row r="11" spans="1:7" ht="15" customHeight="1" x14ac:dyDescent="0.25">
      <c r="A11" s="11"/>
      <c r="B11" s="112" t="s">
        <v>154</v>
      </c>
      <c r="C11" s="33">
        <v>1589150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151</v>
      </c>
      <c r="C12" s="33">
        <v>0</v>
      </c>
      <c r="D12" s="46" t="s">
        <v>31</v>
      </c>
      <c r="E12" s="33">
        <v>21308</v>
      </c>
      <c r="F12" s="46" t="s">
        <v>31</v>
      </c>
      <c r="G12" s="11"/>
    </row>
    <row r="13" spans="1:7" ht="15" customHeight="1" x14ac:dyDescent="0.25">
      <c r="A13" s="11"/>
      <c r="B13" s="112" t="s">
        <v>152</v>
      </c>
      <c r="C13" s="33">
        <v>0</v>
      </c>
      <c r="D13" s="46" t="s">
        <v>31</v>
      </c>
      <c r="E13" s="33">
        <v>47062</v>
      </c>
      <c r="F13" s="46" t="s">
        <v>31</v>
      </c>
      <c r="G13" s="11"/>
    </row>
    <row r="14" spans="1:7" ht="15" customHeight="1" x14ac:dyDescent="0.25">
      <c r="A14" s="11"/>
      <c r="B14" s="112" t="s">
        <v>155</v>
      </c>
      <c r="C14" s="33">
        <v>1059365</v>
      </c>
      <c r="D14" s="46" t="s">
        <v>31</v>
      </c>
      <c r="E14" s="33">
        <v>0</v>
      </c>
      <c r="F14" s="46" t="s">
        <v>31</v>
      </c>
      <c r="G14" s="11"/>
    </row>
    <row r="15" spans="1:7" ht="15" customHeight="1" x14ac:dyDescent="0.25">
      <c r="A15" s="11"/>
      <c r="B15" s="25" t="s">
        <v>106</v>
      </c>
      <c r="C15" s="100">
        <f>SUM(C10:C14)</f>
        <v>2648515</v>
      </c>
      <c r="D15" s="101" t="s">
        <v>31</v>
      </c>
      <c r="E15" s="100">
        <f>SUM(E10:E14)</f>
        <v>137567</v>
      </c>
      <c r="F15" s="101" t="s">
        <v>31</v>
      </c>
      <c r="G15" s="11"/>
    </row>
    <row r="16" spans="1:7" ht="15" customHeight="1" x14ac:dyDescent="0.25">
      <c r="A16" s="11"/>
      <c r="B16" s="11"/>
      <c r="C16" s="11"/>
      <c r="D16" s="11"/>
      <c r="E16" s="11"/>
      <c r="F16" s="11"/>
      <c r="G16" s="11"/>
    </row>
    <row r="17" spans="1:7" ht="15" customHeight="1" x14ac:dyDescent="0.25">
      <c r="A17" s="11"/>
      <c r="B17" s="113"/>
      <c r="C17" s="113"/>
      <c r="D17" s="113"/>
      <c r="E17" s="113"/>
      <c r="F17" s="113"/>
      <c r="G17" s="11"/>
    </row>
  </sheetData>
  <sheetProtection algorithmName="SHA-512" hashValue="oeTJS9x1+4SvuBhI48vPNqkZWGlLM8GROFNQ6/rttlagGGQ51JqcYXSNyj9RQ1dYIfqlG83OaNErWhtcqFLBDg==" saltValue="7wrXJtc2YWf48bwit/Z3z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107</v>
      </c>
      <c r="C8" s="84"/>
      <c r="D8" s="85"/>
      <c r="E8" s="11"/>
    </row>
    <row r="9" spans="1:5" ht="15" customHeight="1" x14ac:dyDescent="0.25">
      <c r="A9" s="11"/>
      <c r="B9" s="114" t="s">
        <v>108</v>
      </c>
      <c r="C9" s="33">
        <v>159552</v>
      </c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-1802.8704048864788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-3191.04</v>
      </c>
      <c r="D11" s="46" t="s">
        <v>31</v>
      </c>
      <c r="E11" s="11"/>
    </row>
    <row r="12" spans="1:5" ht="26.25" customHeight="1" x14ac:dyDescent="0.25">
      <c r="A12" s="11"/>
      <c r="B12" s="116" t="s">
        <v>109</v>
      </c>
      <c r="C12" s="100">
        <f>SUM(C9:C11)*(1+'8. Nøgletal'!C9)*(1+'8. Nøgletal'!C10)</f>
        <v>163620.63563572176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wQgdJ/+rFYB44zLNmfmd7iLoH1ypNEJ9HZ3d0Pg5Bfu6wOGD1ko+SKYKIlkanXnDk5mA3YFuFciE/uazumvEtg==" saltValue="o/CKds1qmoTLr43NPU9BW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110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111</v>
      </c>
      <c r="C9" s="118">
        <v>1432562</v>
      </c>
      <c r="D9" s="117" t="s">
        <v>31</v>
      </c>
      <c r="E9" s="11"/>
    </row>
    <row r="10" spans="1:5" ht="14.25" customHeight="1" x14ac:dyDescent="0.25">
      <c r="A10" s="11"/>
      <c r="B10" s="44" t="s">
        <v>112</v>
      </c>
      <c r="C10" s="29">
        <v>0</v>
      </c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-1432562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139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113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-1432562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BNlV6hHNxl/dLa503YYueSfu+8Hp97D8tjaNNnPgf1p4Wrd11Vmam7xkG4Puc88tyZKrKeybS1HztxXzrWvgzg==" saltValue="ogO/in1EYrwj82lUMxMDL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114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SwIILFqTyaJYVWhIlVLNnc7rb1GNkS5AUw0vrWLL9os14jGaJq6cOdhbWIEtdCZxBcaKO6URHMXGYSdI51//Kw==" saltValue="CkhZibN7wghYol8vfUB9Q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115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157</v>
      </c>
      <c r="C10" s="33">
        <v>0</v>
      </c>
      <c r="D10" s="46" t="s">
        <v>31</v>
      </c>
      <c r="E10" s="33">
        <v>1779946</v>
      </c>
      <c r="F10" s="46" t="s">
        <v>31</v>
      </c>
      <c r="G10" s="11"/>
    </row>
    <row r="11" spans="1:7" ht="15" customHeight="1" x14ac:dyDescent="0.25">
      <c r="A11" s="11"/>
      <c r="B11" s="25" t="s">
        <v>72</v>
      </c>
      <c r="C11" s="100">
        <f>SUM(C10:C10)</f>
        <v>0</v>
      </c>
      <c r="D11" s="101" t="s">
        <v>31</v>
      </c>
      <c r="E11" s="100">
        <f>SUM(E10:E10)</f>
        <v>1779946</v>
      </c>
      <c r="F11" s="101" t="s">
        <v>31</v>
      </c>
      <c r="G11" s="11"/>
    </row>
    <row r="12" spans="1:7" ht="15" customHeight="1" x14ac:dyDescent="0.25">
      <c r="A12" s="11"/>
      <c r="B12" s="25" t="s">
        <v>116</v>
      </c>
      <c r="C12" s="100">
        <f>C11*(1+'8. Nøgletal'!C9)</f>
        <v>0</v>
      </c>
      <c r="D12" s="101" t="s">
        <v>31</v>
      </c>
      <c r="E12" s="100">
        <f>E11*(1+'8. Nøgletal'!C9)</f>
        <v>1831386.4393999998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vwrZ28oOrrJo6aC8i3pmhzEGJYS3DDEaEBK/+egNVqkDixLja84dS3Yh1CzYOlg2pTtruM28f4d7TerYHBahLQ==" saltValue="p/zZTkZqEamN6hjX9+Eg9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73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74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132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133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117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ASHcfy/7SoN/ZmGEHeadrtmU4vfUVV/F5XoPg+W71B44GPmOVfh2bXTi3Q/+Csuso7EgS2KT2JtEmEfH2c2yDg==" saltValue="3vLepZCU0Uv1jsTlaDNZr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75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76</v>
      </c>
      <c r="C9" s="4">
        <v>2.8899999999999999E-2</v>
      </c>
      <c r="D9" s="22"/>
    </row>
    <row r="10" spans="1:4" ht="15" customHeight="1" x14ac:dyDescent="0.25">
      <c r="A10" s="11"/>
      <c r="B10" s="133" t="s">
        <v>118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77</v>
      </c>
      <c r="C13" s="27"/>
      <c r="D13" s="11"/>
    </row>
    <row r="14" spans="1:4" ht="15" customHeight="1" x14ac:dyDescent="0.25">
      <c r="A14" s="11"/>
      <c r="B14" s="133" t="s">
        <v>78</v>
      </c>
      <c r="C14" s="5">
        <v>0</v>
      </c>
      <c r="D14" s="22"/>
    </row>
    <row r="15" spans="1:4" ht="15" customHeight="1" x14ac:dyDescent="0.25">
      <c r="A15" s="11"/>
      <c r="B15" s="133" t="s">
        <v>119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79</v>
      </c>
      <c r="C18" s="27"/>
      <c r="D18" s="11"/>
    </row>
    <row r="19" spans="1:4" ht="15" customHeight="1" x14ac:dyDescent="0.25">
      <c r="A19" s="11"/>
      <c r="B19" s="104" t="s">
        <v>80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81</v>
      </c>
      <c r="C23" s="8">
        <v>1.12995788513242E-2</v>
      </c>
      <c r="D23" s="22"/>
    </row>
    <row r="24" spans="1:4" ht="15" customHeight="1" x14ac:dyDescent="0.25">
      <c r="A24" s="11"/>
      <c r="B24" s="44" t="s">
        <v>120</v>
      </c>
      <c r="C24" s="8">
        <v>1.12995788513242E-2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nShodMp2lB9EBrAuOESolMH/zJ3OUwnfGii1MKa1TWISYtyN/09ZLu/FvDX8IeuYWndvwkNEVMseZd+hhhsQbQ==" saltValue="mv56n8ri9hSJwxsqTQxTp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2026-09-30T10:34:36Z</dcterms:modified>
</cp:coreProperties>
</file>