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HOFOR Spildevand Dragør AS (S042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Korrektion af ØR2019" sheetId="40" r:id="rId9"/>
    <sheet name="Fane 7. Anlægsprojekter" sheetId="11" r:id="rId10"/>
    <sheet name="Fane 8.1. Varige tillæg" sheetId="37" r:id="rId11"/>
    <sheet name="Fane 8.2. Engangstillæg" sheetId="39" r:id="rId12"/>
    <sheet name="Fane 9. Periodevise driftsomk." sheetId="20" r:id="rId13"/>
    <sheet name="Fane 10. Tilknyttet virksomhed" sheetId="29" r:id="rId14"/>
    <sheet name="Fane 11. Bortfald" sheetId="21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11" i="20" l="1"/>
  <c r="E16" i="40" l="1"/>
  <c r="E12" i="40" l="1"/>
  <c r="C13" i="19" l="1"/>
  <c r="E14" i="27" l="1"/>
  <c r="E34" i="32" l="1"/>
  <c r="E26" i="32"/>
  <c r="E18" i="32"/>
  <c r="E9" i="32"/>
  <c r="E39" i="32" s="1"/>
  <c r="E42" i="32" s="1"/>
  <c r="E40" i="32" l="1"/>
  <c r="E43" i="32" s="1"/>
  <c r="E24" i="15" s="1"/>
  <c r="E23" i="22"/>
  <c r="E23" i="15"/>
  <c r="E26" i="2"/>
  <c r="E24" i="22" l="1"/>
  <c r="E27" i="2"/>
  <c r="E10" i="11"/>
  <c r="E10" i="20" l="1"/>
  <c r="E25" i="20" l="1"/>
  <c r="E20" i="20"/>
  <c r="E15" i="20"/>
  <c r="E17" i="40" l="1"/>
  <c r="E29" i="2"/>
  <c r="E21" i="20" l="1"/>
  <c r="E17" i="22" s="1"/>
  <c r="E16" i="20"/>
  <c r="E17" i="15" s="1"/>
  <c r="E20" i="2"/>
  <c r="E26" i="20" l="1"/>
  <c r="E16" i="23" s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10" i="15" l="1"/>
  <c r="E9" i="22" s="1"/>
  <c r="E9" i="23"/>
  <c r="E10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8" i="23" s="1"/>
  <c r="E34" i="39"/>
  <c r="E19" i="23" s="1"/>
  <c r="C27" i="39"/>
  <c r="E19" i="22" s="1"/>
  <c r="E27" i="39"/>
  <c r="E20" i="22" s="1"/>
  <c r="E20" i="39"/>
  <c r="E20" i="15" s="1"/>
  <c r="C20" i="39"/>
  <c r="E19" i="15" s="1"/>
  <c r="E20" i="23" l="1"/>
  <c r="E13" i="39"/>
  <c r="E23" i="2" s="1"/>
  <c r="E21" i="22"/>
  <c r="C13" i="39"/>
  <c r="E22" i="2" s="1"/>
  <c r="E21" i="15" l="1"/>
  <c r="E24" i="2"/>
  <c r="E15" i="27" l="1"/>
  <c r="E16" i="27" s="1"/>
  <c r="E29" i="27" s="1"/>
  <c r="E9" i="2" l="1"/>
  <c r="F11" i="11" l="1"/>
  <c r="C10" i="37" s="1"/>
  <c r="C11" i="37" s="1"/>
  <c r="C12" i="37" s="1"/>
  <c r="G11" i="11"/>
  <c r="E11" i="21" l="1"/>
  <c r="C11" i="21"/>
  <c r="E11" i="29"/>
  <c r="C11" i="29"/>
  <c r="C14" i="19"/>
  <c r="C12" i="21" l="1"/>
  <c r="E12" i="21"/>
  <c r="C12" i="29"/>
  <c r="E12" i="29"/>
  <c r="E14" i="23"/>
  <c r="E15" i="22"/>
  <c r="E18" i="2"/>
  <c r="E15" i="15"/>
  <c r="E13" i="2" l="1"/>
  <c r="E12" i="2"/>
  <c r="E11" i="11" l="1"/>
  <c r="E10" i="37" s="1"/>
  <c r="E11" i="37" s="1"/>
  <c r="E12" i="37" s="1"/>
  <c r="E11" i="2" s="1"/>
  <c r="E14" i="2" l="1"/>
  <c r="E15" i="2" l="1"/>
  <c r="E16" i="2" s="1"/>
  <c r="E30" i="2" s="1"/>
  <c r="E9" i="15" l="1"/>
  <c r="E11" i="15" s="1"/>
  <c r="E12" i="15" l="1"/>
  <c r="E13" i="15" s="1"/>
  <c r="E8" i="22" l="1"/>
  <c r="E11" i="22" s="1"/>
  <c r="E12" i="22" s="1"/>
  <c r="E13" i="22" s="1"/>
  <c r="E25" i="15"/>
  <c r="E8" i="23" l="1"/>
  <c r="E10" i="23" s="1"/>
  <c r="E25" i="22"/>
  <c r="E11" i="23" l="1"/>
  <c r="E12" i="23" s="1"/>
  <c r="E21" i="23" s="1"/>
</calcChain>
</file>

<file path=xl/sharedStrings.xml><?xml version="1.0" encoding="utf-8"?>
<sst xmlns="http://schemas.openxmlformats.org/spreadsheetml/2006/main" count="503" uniqueCount="187">
  <si>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</si>
  <si>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</si>
  <si>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</si>
  <si>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</si>
  <si>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</si>
  <si>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</si>
  <si>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</si>
  <si>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</si>
  <si>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</si>
  <si>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</si>
  <si>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</si>
  <si>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</si>
  <si>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</si>
  <si>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</si>
  <si>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</si>
  <si>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</si>
  <si>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</si>
  <si>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</si>
  <si>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</si>
  <si>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</si>
  <si>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</si>
  <si>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</si>
  <si>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</si>
  <si>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</si>
  <si>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</si>
  <si>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</si>
  <si>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</si>
  <si>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</si>
  <si>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</si>
  <si>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</si>
  <si>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</si>
  <si>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</si>
  <si>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</si>
  <si>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</si>
  <si>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</si>
  <si>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</si>
  <si>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</si>
  <si>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</si>
  <si>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</si>
  <si>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</si>
  <si>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</si>
  <si>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</si>
  <si>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</si>
  <si>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</si>
  <si>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</si>
  <si>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</si>
  <si>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</si>
  <si>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</si>
  <si>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</si>
  <si>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</si>
  <si>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</si>
  <si>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</si>
  <si>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</si>
  <si>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</si>
  <si>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</si>
  <si>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</si>
  <si>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</si>
  <si>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</si>
  <si>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</si>
  <si>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</si>
  <si>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</si>
  <si>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</si>
  <si>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</si>
  <si>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</si>
  <si>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</si>
  <si>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</si>
  <si>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</si>
  <si>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</si>
  <si>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</si>
  <si>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</si>
  <si>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Korrektion af tidligere godkendte omkostninger til medfinansiering af klimatilpasningsprojekter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</si>
  <si>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</si>
  <si>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</si>
  <si>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</si>
  <si>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</si>
  <si>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</si>
  <si>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</si>
  <si>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</si>
  <si>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Tillæg til tilbagebetaling af vejbidrag</t>
  </si>
  <si>
    <t>Fane 4: Ikke-påvirkelige omkostninger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</si>
  <si>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</si>
  <si>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</si>
  <si>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</si>
  <si>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</si>
  <si>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</si>
  <si>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</si>
  <si>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</si>
  <si>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</si>
  <si>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Fane 8.1: Varige tillæg</t>
  </si>
  <si>
    <t>Fane 8.2: Engangstillæg</t>
  </si>
  <si>
    <t>Antal år i næste reguleringsperiode</t>
  </si>
  <si>
    <t>Fane 11: Bortfald eller nedsættelse af omkostninger til mål, medfinansiering eller udvidelse</t>
  </si>
  <si>
    <t>Fane 6</t>
  </si>
  <si>
    <t>Fane 8.1</t>
  </si>
  <si>
    <t>Fane 8.2</t>
  </si>
  <si>
    <t>Fane 11</t>
  </si>
  <si>
    <t>Nøgletal</t>
  </si>
  <si>
    <t>Korrektion og kontrol med prisloft 2016 i alt</t>
  </si>
  <si>
    <t>Tillæg til medfinansieringsprojekter godkendt under prisloftsbekendtgørelsen</t>
  </si>
  <si>
    <t>Prisudvikling til brug for ØR2017-2020</t>
  </si>
  <si>
    <t xml:space="preserve">Effektiviseringskrav </t>
  </si>
  <si>
    <t>Fane 9: Periodevise driftsomkostninger givet under prisloftsbekendtgørelsen</t>
  </si>
  <si>
    <t>Nye tillæg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</si>
  <si>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</si>
  <si>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</si>
  <si>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</si>
  <si>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</si>
  <si>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</si>
  <si>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Korrektion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</si>
  <si>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</si>
  <si>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</si>
  <si>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</si>
  <si>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</si>
  <si>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</si>
  <si>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</si>
  <si>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</si>
  <si>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</si>
  <si>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</si>
  <si>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</si>
  <si>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</si>
  <si>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</si>
  <si>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Ikke-påvirkelige omkostninger i 2019-prisniveau</t>
  </si>
  <si>
    <t>Ikke-påvirkelige omkostninger i 2021-prisniveau</t>
  </si>
  <si>
    <t>Tillæg til den økonomiske ramme for 2024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</si>
  <si>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</si>
  <si>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</si>
  <si>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</si>
  <si>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</si>
  <si>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</si>
  <si>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Fane 6: Korrektioner af den økonomiske ramme for 2019</t>
  </si>
  <si>
    <t>Nye tillæg i alt i 2020-prisniveau</t>
  </si>
  <si>
    <t>Engangstillæg i alt i 2019-prisniveau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</si>
  <si>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</si>
  <si>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</si>
  <si>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</si>
  <si>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10: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</si>
  <si>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</si>
  <si>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</si>
  <si>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</si>
  <si>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</si>
  <si>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</si>
  <si>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</si>
  <si>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</si>
  <si>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Faktiske omkostninger i 2019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</si>
  <si>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</si>
  <si>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</si>
  <si>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</si>
  <si>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</si>
  <si>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Fane 5: Kontrol med overholdelse af den økonomiske ramme for 2019</t>
  </si>
  <si>
    <t>Fane 7: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</si>
  <si>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</si>
  <si>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</si>
  <si>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</si>
  <si>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- Heraf nye omkostninger i ØR22</t>
  </si>
  <si>
    <t>Korrektion af grundlag</t>
  </si>
  <si>
    <t>Kontrol med overholdelse af den økonomiske ramme</t>
  </si>
  <si>
    <t>Kontrol med overholdelse af økonomiske rammer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</si>
  <si>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</si>
  <si>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</si>
  <si>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</si>
  <si>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</si>
  <si>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2021-2023</t>
  </si>
  <si>
    <t>Til økonomiske rammer for 2021, 2022 og 2023</t>
  </si>
  <si>
    <t>Samlet økonomisk ramme for 2022</t>
  </si>
  <si>
    <t>Samlet økonomisk ramme for 2023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</si>
  <si>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</si>
  <si>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</si>
  <si>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</si>
  <si>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(2019-prisniveau)</t>
  </si>
  <si>
    <t>Difference (2018-prisniveau)</t>
  </si>
  <si>
    <t>Difference (2017-prisniveau)</t>
  </si>
  <si>
    <t>Fane 3</t>
  </si>
  <si>
    <t>Fane 12: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</si>
  <si>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</si>
  <si>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</si>
  <si>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</si>
  <si>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</si>
  <si>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</si>
  <si>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</si>
  <si>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Spildevandsafgift</t>
  </si>
  <si>
    <t>Afgift til Forsyningssekretariatet</t>
  </si>
  <si>
    <t>Ejendomsskatter</t>
  </si>
  <si>
    <t>Ingen tilknyttet virksomhed</t>
  </si>
  <si>
    <t>Ingen bortfald eller nedsættelse</t>
  </si>
  <si>
    <t>Ingen engangstillæg</t>
  </si>
  <si>
    <t>Installationer "mekaniske riste og SRO" Miljøklasse A. (7-20 m2) - SRO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</si>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</sst>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16" fillId="7" borderId="1" xfId="0" applyFont="1" applyFill="1" applyBorder="1" applyAlignment="1" applyProtection="1"/>
    <xf numFmtId="0" fontId="15" fillId="7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49" fontId="8" fillId="7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1" fontId="8" fillId="0" borderId="1" xfId="0" applyNumberFormat="1" applyFont="1" applyFill="1" applyBorder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7" borderId="1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7" borderId="2" xfId="0" applyNumberFormat="1" applyFont="1" applyFill="1" applyBorder="1" applyAlignment="1" applyProtection="1">
      <alignment horizontal="left" wrapText="1"/>
    </xf>
    <xf numFmtId="49" fontId="8" fillId="7" borderId="6" xfId="0" applyNumberFormat="1" applyFont="1" applyFill="1" applyBorder="1" applyAlignment="1" applyProtection="1">
      <alignment horizontal="left" wrapText="1"/>
    </xf>
    <xf numFmtId="49" fontId="8" fillId="7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3" t="s">
        <v>4</v>
      </c>
      <c r="E6" s="53"/>
      <c r="F6" s="53"/>
      <c r="G6" s="53"/>
      <c r="H6" s="3"/>
      <c r="I6" s="1"/>
    </row>
    <row r="7" spans="1:9" ht="15" customHeight="1" x14ac:dyDescent="0.45">
      <c r="A7" s="1"/>
      <c r="B7" s="1"/>
      <c r="C7" s="3"/>
      <c r="D7" s="53"/>
      <c r="E7" s="53"/>
      <c r="F7" s="53"/>
      <c r="G7" s="53"/>
      <c r="H7" s="3"/>
      <c r="I7" s="1"/>
    </row>
    <row r="8" spans="1:9" ht="15.75" x14ac:dyDescent="0.5">
      <c r="A8" s="1"/>
      <c r="B8" s="1"/>
      <c r="C8" s="4"/>
      <c r="D8" s="58" t="s">
        <v>162</v>
      </c>
      <c r="E8" s="58"/>
      <c r="F8" s="58"/>
      <c r="G8" s="58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57" t="s">
        <v>5</v>
      </c>
      <c r="E11" s="57"/>
      <c r="F11" s="57"/>
      <c r="G11" s="57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0" t="s">
        <v>104</v>
      </c>
      <c r="E13" s="51"/>
      <c r="F13" s="51"/>
      <c r="G13" s="52"/>
      <c r="H13" s="1"/>
      <c r="I13" s="1"/>
    </row>
    <row r="14" spans="1:9" x14ac:dyDescent="0.45">
      <c r="A14" s="1"/>
      <c r="B14" s="1"/>
      <c r="C14" s="6" t="s">
        <v>16</v>
      </c>
      <c r="D14" s="50" t="s">
        <v>163</v>
      </c>
      <c r="E14" s="51"/>
      <c r="F14" s="51"/>
      <c r="G14" s="52"/>
      <c r="H14" s="1"/>
      <c r="I14" s="1"/>
    </row>
    <row r="15" spans="1:9" x14ac:dyDescent="0.45">
      <c r="A15" s="1"/>
      <c r="B15" s="1"/>
      <c r="C15" s="6" t="s">
        <v>38</v>
      </c>
      <c r="D15" s="50" t="s">
        <v>164</v>
      </c>
      <c r="E15" s="51"/>
      <c r="F15" s="51"/>
      <c r="G15" s="52"/>
      <c r="H15" s="1"/>
      <c r="I15" s="1"/>
    </row>
    <row r="16" spans="1:9" x14ac:dyDescent="0.45">
      <c r="A16" s="1"/>
      <c r="B16" s="1"/>
      <c r="C16" s="6" t="s">
        <v>39</v>
      </c>
      <c r="D16" s="50" t="s">
        <v>105</v>
      </c>
      <c r="E16" s="51"/>
      <c r="F16" s="51"/>
      <c r="G16" s="52"/>
      <c r="H16" s="1"/>
      <c r="I16" s="1"/>
    </row>
    <row r="17" spans="1:9" x14ac:dyDescent="0.45">
      <c r="A17" s="1"/>
      <c r="B17" s="1"/>
      <c r="C17" s="6" t="s">
        <v>171</v>
      </c>
      <c r="D17" s="50" t="s">
        <v>106</v>
      </c>
      <c r="E17" s="51"/>
      <c r="F17" s="51"/>
      <c r="G17" s="52"/>
      <c r="H17" s="1"/>
      <c r="I17" s="1"/>
    </row>
    <row r="18" spans="1:9" x14ac:dyDescent="0.45">
      <c r="A18" s="1"/>
      <c r="B18" s="1"/>
      <c r="C18" s="6" t="s">
        <v>7</v>
      </c>
      <c r="D18" s="62" t="s">
        <v>12</v>
      </c>
      <c r="E18" s="63"/>
      <c r="F18" s="63"/>
      <c r="G18" s="64"/>
      <c r="H18" s="1"/>
      <c r="I18" s="1"/>
    </row>
    <row r="19" spans="1:9" x14ac:dyDescent="0.45">
      <c r="A19" s="1"/>
      <c r="B19" s="1"/>
      <c r="C19" s="6" t="s">
        <v>8</v>
      </c>
      <c r="D19" s="54" t="s">
        <v>107</v>
      </c>
      <c r="E19" s="55"/>
      <c r="F19" s="55"/>
      <c r="G19" s="56"/>
      <c r="H19" s="1"/>
      <c r="I19" s="1"/>
    </row>
    <row r="20" spans="1:9" x14ac:dyDescent="0.45">
      <c r="A20" s="1"/>
      <c r="B20" s="1"/>
      <c r="C20" s="6" t="s">
        <v>92</v>
      </c>
      <c r="D20" s="54" t="s">
        <v>108</v>
      </c>
      <c r="E20" s="55"/>
      <c r="F20" s="55"/>
      <c r="G20" s="56"/>
      <c r="H20" s="1"/>
      <c r="I20" s="1"/>
    </row>
    <row r="21" spans="1:9" x14ac:dyDescent="0.45">
      <c r="A21" s="1"/>
      <c r="B21" s="1"/>
      <c r="C21" s="6" t="s">
        <v>51</v>
      </c>
      <c r="D21" s="54" t="s">
        <v>40</v>
      </c>
      <c r="E21" s="55"/>
      <c r="F21" s="55"/>
      <c r="G21" s="56"/>
      <c r="H21" s="1"/>
      <c r="I21" s="1"/>
    </row>
    <row r="22" spans="1:9" x14ac:dyDescent="0.45">
      <c r="A22" s="1"/>
      <c r="B22" s="1"/>
      <c r="C22" s="6" t="s">
        <v>93</v>
      </c>
      <c r="D22" s="54" t="s">
        <v>52</v>
      </c>
      <c r="E22" s="55"/>
      <c r="F22" s="55"/>
      <c r="G22" s="56"/>
      <c r="H22" s="1"/>
      <c r="I22" s="1"/>
    </row>
    <row r="23" spans="1:9" x14ac:dyDescent="0.45">
      <c r="A23" s="1"/>
      <c r="B23" s="1"/>
      <c r="C23" s="6" t="s">
        <v>94</v>
      </c>
      <c r="D23" s="54" t="s">
        <v>53</v>
      </c>
      <c r="E23" s="55"/>
      <c r="F23" s="55"/>
      <c r="G23" s="56"/>
      <c r="H23" s="1"/>
      <c r="I23" s="1"/>
    </row>
    <row r="24" spans="1:9" x14ac:dyDescent="0.45">
      <c r="A24" s="1"/>
      <c r="B24" s="1"/>
      <c r="C24" s="6" t="s">
        <v>9</v>
      </c>
      <c r="D24" s="54" t="s">
        <v>54</v>
      </c>
      <c r="E24" s="55"/>
      <c r="F24" s="55"/>
      <c r="G24" s="56"/>
      <c r="H24" s="1"/>
      <c r="I24" s="1"/>
    </row>
    <row r="25" spans="1:9" x14ac:dyDescent="0.45">
      <c r="A25" s="1"/>
      <c r="B25" s="1"/>
      <c r="C25" s="6" t="s">
        <v>69</v>
      </c>
      <c r="D25" s="54" t="s">
        <v>109</v>
      </c>
      <c r="E25" s="55"/>
      <c r="F25" s="55"/>
      <c r="G25" s="56"/>
      <c r="H25" s="1"/>
      <c r="I25" s="1"/>
    </row>
    <row r="26" spans="1:9" x14ac:dyDescent="0.45">
      <c r="A26" s="1"/>
      <c r="B26" s="1"/>
      <c r="C26" s="6" t="s">
        <v>95</v>
      </c>
      <c r="D26" s="54" t="s">
        <v>41</v>
      </c>
      <c r="E26" s="55"/>
      <c r="F26" s="55"/>
      <c r="G26" s="56"/>
      <c r="H26" s="1"/>
      <c r="I26" s="1"/>
    </row>
    <row r="27" spans="1:9" x14ac:dyDescent="0.45">
      <c r="A27" s="1"/>
      <c r="B27" s="1"/>
      <c r="C27" s="6" t="s">
        <v>15</v>
      </c>
      <c r="D27" s="59" t="s">
        <v>96</v>
      </c>
      <c r="E27" s="60"/>
      <c r="F27" s="60"/>
      <c r="G27" s="6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vPhwBJStONt36T0qGjoYFyNAd1/kgTnHxKwHjr9EqepdA69MavcBVOrxq0qXYnFP8fYFusjKZpuypHHX8qYs2w==" saltValue="hiHZVhkL6YYjtQ1k1P0WIQ==" spinCount="100000" sheet="1" objects="1" scenarios="1"/>
  <mergeCells count="18">
    <mergeCell ref="D26:G26"/>
    <mergeCell ref="D27:G27"/>
    <mergeCell ref="D18:G18"/>
    <mergeCell ref="D21:G21"/>
    <mergeCell ref="D22:G22"/>
    <mergeCell ref="D25:G25"/>
    <mergeCell ref="D23:G23"/>
    <mergeCell ref="D24:G24"/>
    <mergeCell ref="D20:G20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2'!A1" display="Vejledende økonomisk ramme for 2022"/>
    <hyperlink ref="D22:G22" location="'Fane 8.1. Varige tillæg'!A1" display="Varige tillæg"/>
    <hyperlink ref="D25:G25" location="'Fane 10. Tilknyttet virksomhed'!A1" display="Tilknyttet virksomhed"/>
    <hyperlink ref="D26:G26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1:G21" location="'Fane 7. Anlægsprojekter'!A1" display="Anlægsprojekter"/>
    <hyperlink ref="D27:G27" location="'Fane 12. Nøgletal'!A1" display="Nøgletal"/>
    <hyperlink ref="D17:G17" location="'Fane 3. Omkostninger i ØR2020'!A1" display="Omkostninger i ØR2020"/>
    <hyperlink ref="D23:G23" location="'Fane 8.2. Engangstillæg'!A1" display="Engangstillæg"/>
    <hyperlink ref="D24:G24" location="'Fane 9. Periodevise driftsomk.'!A1" display="Periodevise driftsomkostninger"/>
    <hyperlink ref="D20:G20" location="'Fane 6. Korrektion af ØR2019'!A1" display="Korrektion af den økonomiske ramme for 2019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5" t="s">
        <v>149</v>
      </c>
      <c r="C3" s="65"/>
      <c r="D3" s="65"/>
      <c r="E3" s="65"/>
      <c r="F3" s="65"/>
      <c r="G3" s="65"/>
      <c r="H3" s="65"/>
      <c r="I3" s="1"/>
    </row>
    <row r="4" spans="1:9" ht="15" customHeight="1" x14ac:dyDescent="0.45">
      <c r="A4" s="1"/>
      <c r="B4" s="65"/>
      <c r="C4" s="65"/>
      <c r="D4" s="65"/>
      <c r="E4" s="65"/>
      <c r="F4" s="65"/>
      <c r="G4" s="65"/>
      <c r="H4" s="65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1" t="s">
        <v>150</v>
      </c>
      <c r="C8" s="82"/>
      <c r="D8" s="82"/>
      <c r="E8" s="82"/>
      <c r="F8" s="82"/>
      <c r="G8" s="82"/>
      <c r="H8" s="83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32" t="s">
        <v>2</v>
      </c>
      <c r="F9" s="32" t="s">
        <v>11</v>
      </c>
      <c r="G9" s="32" t="s">
        <v>31</v>
      </c>
      <c r="H9" s="46"/>
      <c r="I9" s="1"/>
    </row>
    <row r="10" spans="1:9" ht="39.75" x14ac:dyDescent="0.45">
      <c r="A10" s="1"/>
      <c r="B10" s="44" t="s">
        <v>185</v>
      </c>
      <c r="C10" s="49" t="s">
        <v>186</v>
      </c>
      <c r="D10" s="8">
        <v>3122967</v>
      </c>
      <c r="E10" s="8">
        <f>IFERROR(D10/C10,0)</f>
        <v>312296.7</v>
      </c>
      <c r="F10" s="8">
        <v>0</v>
      </c>
      <c r="G10" s="8">
        <v>26353</v>
      </c>
      <c r="H10" s="12" t="s">
        <v>3</v>
      </c>
      <c r="I10" s="1"/>
    </row>
    <row r="11" spans="1:9" x14ac:dyDescent="0.45">
      <c r="A11" s="1"/>
      <c r="B11" s="81" t="s">
        <v>151</v>
      </c>
      <c r="C11" s="82"/>
      <c r="D11" s="83"/>
      <c r="E11" s="10">
        <f>SUM(E10:E10)</f>
        <v>312296.7</v>
      </c>
      <c r="F11" s="10">
        <f>SUM(F10:F10)</f>
        <v>0</v>
      </c>
      <c r="G11" s="10">
        <f>SUM(G10:G10)</f>
        <v>26353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X7tpGM5Fpr999kQLxnl/WAN4bgBMPrsaBpwSvUGYON7mqKaffadsTvh/4WifFEHXfsoL9pPQ2cUdoy4VYnnH6Q==" saltValue="YXBem5YlzamMaBWxZGF84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5" t="s">
        <v>88</v>
      </c>
      <c r="C3" s="65"/>
      <c r="D3" s="65"/>
      <c r="E3" s="65"/>
      <c r="F3" s="65"/>
      <c r="G3" s="1"/>
    </row>
    <row r="4" spans="1:7" ht="15" customHeight="1" x14ac:dyDescent="0.45">
      <c r="A4" s="1"/>
      <c r="B4" s="65"/>
      <c r="C4" s="65"/>
      <c r="D4" s="65"/>
      <c r="E4" s="65"/>
      <c r="F4" s="6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7" t="s">
        <v>48</v>
      </c>
      <c r="C8" s="22"/>
      <c r="D8" s="22"/>
      <c r="E8" s="22"/>
      <c r="F8" s="48"/>
      <c r="G8" s="1"/>
    </row>
    <row r="9" spans="1:7" ht="17.25" customHeight="1" x14ac:dyDescent="0.45">
      <c r="A9" s="1"/>
      <c r="B9" s="40" t="s">
        <v>17</v>
      </c>
      <c r="C9" s="40" t="s">
        <v>11</v>
      </c>
      <c r="D9" s="41"/>
      <c r="E9" s="40" t="s">
        <v>32</v>
      </c>
      <c r="F9" s="46"/>
      <c r="G9" s="1"/>
    </row>
    <row r="10" spans="1:7" x14ac:dyDescent="0.45">
      <c r="A10" s="1"/>
      <c r="B10" s="20" t="s">
        <v>152</v>
      </c>
      <c r="C10" s="19">
        <f>'Fane 7. Anlægsprojekter'!F11</f>
        <v>0</v>
      </c>
      <c r="D10" s="12" t="s">
        <v>3</v>
      </c>
      <c r="E10" s="8">
        <f>SUM('Fane 7. Anlægsprojekter'!E11,'Fane 7. Anlægsprojekter'!G11)</f>
        <v>338649.7</v>
      </c>
      <c r="F10" s="12" t="s">
        <v>3</v>
      </c>
      <c r="G10" s="1"/>
    </row>
    <row r="11" spans="1:7" x14ac:dyDescent="0.45">
      <c r="A11" s="1"/>
      <c r="B11" s="47" t="s">
        <v>43</v>
      </c>
      <c r="C11" s="10">
        <f>SUM(C10:C10)</f>
        <v>0</v>
      </c>
      <c r="D11" s="11" t="s">
        <v>3</v>
      </c>
      <c r="E11" s="10">
        <f>SUM(E10:E10)</f>
        <v>338649.7</v>
      </c>
      <c r="F11" s="11" t="s">
        <v>3</v>
      </c>
      <c r="G11" s="1"/>
    </row>
    <row r="12" spans="1:7" x14ac:dyDescent="0.45">
      <c r="A12" s="1"/>
      <c r="B12" s="47" t="s">
        <v>130</v>
      </c>
      <c r="C12" s="10">
        <f>C11*(1+'Fane 12. Nøgletal'!C13)</f>
        <v>0</v>
      </c>
      <c r="D12" s="11" t="s">
        <v>3</v>
      </c>
      <c r="E12" s="10">
        <f>E11*(1+'Fane 12. Nøgletal'!C13)</f>
        <v>343119.87604000006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/K0jqKuKZT/azihOOcoWVTGICIS8FIqoXPjsRl3XawlQCVm6AkCAd2/lp+Rp+QoWVPecW4P5QSimSF/HJOD9/g==" saltValue="dbIEgL0LDPf6YzMrCVlFZ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5" t="s">
        <v>89</v>
      </c>
      <c r="C3" s="65"/>
      <c r="D3" s="65"/>
      <c r="E3" s="65"/>
      <c r="F3" s="65"/>
      <c r="G3" s="1"/>
    </row>
    <row r="4" spans="1:7" ht="15" customHeight="1" x14ac:dyDescent="0.45">
      <c r="A4" s="1"/>
      <c r="B4" s="65"/>
      <c r="C4" s="65"/>
      <c r="D4" s="65"/>
      <c r="E4" s="65"/>
      <c r="F4" s="6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1" t="s">
        <v>74</v>
      </c>
      <c r="C8" s="82"/>
      <c r="D8" s="82"/>
      <c r="E8" s="82"/>
      <c r="F8" s="83"/>
      <c r="G8" s="1"/>
    </row>
    <row r="9" spans="1:7" x14ac:dyDescent="0.45">
      <c r="A9" s="1"/>
      <c r="B9" s="40" t="s">
        <v>17</v>
      </c>
      <c r="C9" s="40" t="s">
        <v>11</v>
      </c>
      <c r="D9" s="41"/>
      <c r="E9" s="40" t="s">
        <v>32</v>
      </c>
      <c r="F9" s="46"/>
      <c r="G9" s="1"/>
    </row>
    <row r="10" spans="1:7" x14ac:dyDescent="0.45">
      <c r="A10" s="1"/>
      <c r="B10" s="20" t="s">
        <v>184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7" t="s">
        <v>131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3" t="s">
        <v>87</v>
      </c>
      <c r="C12" s="24">
        <f>-C11*'Fane 12. Nøgletal'!C18</f>
        <v>0</v>
      </c>
      <c r="D12" s="25" t="s">
        <v>3</v>
      </c>
      <c r="E12" s="24">
        <f>-E11*'Fane 12. Nøgletal'!C18</f>
        <v>0</v>
      </c>
      <c r="F12" s="25" t="s">
        <v>3</v>
      </c>
      <c r="G12" s="1"/>
    </row>
    <row r="13" spans="1:7" x14ac:dyDescent="0.45">
      <c r="A13" s="1"/>
      <c r="B13" s="47" t="s">
        <v>77</v>
      </c>
      <c r="C13" s="10">
        <f>SUM(C11:C12)*(1+'Fane 12. Nøgletal'!C13)^2</f>
        <v>0</v>
      </c>
      <c r="D13" s="11" t="s">
        <v>3</v>
      </c>
      <c r="E13" s="10">
        <f>SUM(E11:E12)*(1+'Fane 12. Nøgletal'!C13)^2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1" t="s">
        <v>75</v>
      </c>
      <c r="C15" s="82"/>
      <c r="D15" s="82"/>
      <c r="E15" s="82"/>
      <c r="F15" s="83"/>
      <c r="G15" s="1"/>
    </row>
    <row r="16" spans="1:7" x14ac:dyDescent="0.45">
      <c r="A16" s="1"/>
      <c r="B16" s="40" t="s">
        <v>17</v>
      </c>
      <c r="C16" s="40" t="s">
        <v>11</v>
      </c>
      <c r="D16" s="41"/>
      <c r="E16" s="40" t="s">
        <v>32</v>
      </c>
      <c r="F16" s="46"/>
      <c r="G16" s="1"/>
    </row>
    <row r="17" spans="1:7" x14ac:dyDescent="0.45">
      <c r="A17" s="1"/>
      <c r="B17" s="20" t="s">
        <v>184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45">
      <c r="A18" s="1"/>
      <c r="B18" s="47" t="s">
        <v>131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3" t="s">
        <v>87</v>
      </c>
      <c r="C19" s="24">
        <f>-C18*'Fane 12. Nøgletal'!C18</f>
        <v>0</v>
      </c>
      <c r="D19" s="25" t="s">
        <v>3</v>
      </c>
      <c r="E19" s="24">
        <f>-E18*'Fane 12. Nøgletal'!C18</f>
        <v>0</v>
      </c>
      <c r="F19" s="25" t="s">
        <v>3</v>
      </c>
      <c r="G19" s="1"/>
    </row>
    <row r="20" spans="1:7" x14ac:dyDescent="0.45">
      <c r="A20" s="1"/>
      <c r="B20" s="47" t="s">
        <v>144</v>
      </c>
      <c r="C20" s="10">
        <f>SUM(C18:C19)*(1+'Fane 12. Nøgletal'!C13)^3</f>
        <v>0</v>
      </c>
      <c r="D20" s="11" t="s">
        <v>3</v>
      </c>
      <c r="E20" s="10">
        <f>SUM(E18:E19)*(1+'Fane 12. Nøgletal'!C13)^3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1" t="s">
        <v>76</v>
      </c>
      <c r="C22" s="82"/>
      <c r="D22" s="82"/>
      <c r="E22" s="82"/>
      <c r="F22" s="83"/>
      <c r="G22" s="1"/>
    </row>
    <row r="23" spans="1:7" x14ac:dyDescent="0.45">
      <c r="A23" s="1"/>
      <c r="B23" s="40" t="s">
        <v>17</v>
      </c>
      <c r="C23" s="40" t="s">
        <v>11</v>
      </c>
      <c r="D23" s="41"/>
      <c r="E23" s="40" t="s">
        <v>32</v>
      </c>
      <c r="F23" s="46"/>
      <c r="G23" s="1"/>
    </row>
    <row r="24" spans="1:7" x14ac:dyDescent="0.45">
      <c r="A24" s="1"/>
      <c r="B24" s="20" t="s">
        <v>184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45">
      <c r="A25" s="1"/>
      <c r="B25" s="47" t="s">
        <v>131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3" t="s">
        <v>87</v>
      </c>
      <c r="C26" s="24">
        <f>-C25*'Fane 12. Nøgletal'!C18</f>
        <v>0</v>
      </c>
      <c r="D26" s="25" t="s">
        <v>3</v>
      </c>
      <c r="E26" s="24">
        <f>-E25*'Fane 12. Nøgletal'!C18</f>
        <v>0</v>
      </c>
      <c r="F26" s="25" t="s">
        <v>3</v>
      </c>
      <c r="G26" s="1"/>
    </row>
    <row r="27" spans="1:7" x14ac:dyDescent="0.45">
      <c r="A27" s="1"/>
      <c r="B27" s="47" t="s">
        <v>145</v>
      </c>
      <c r="C27" s="10">
        <f>SUM(C25:C26)*(1+'Fane 12. Nøgletal'!C13)^4</f>
        <v>0</v>
      </c>
      <c r="D27" s="11" t="s">
        <v>3</v>
      </c>
      <c r="E27" s="10">
        <f>SUM(E25:E26)*(1+'Fane 12. Nøgletal'!C13)^4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1" t="s">
        <v>146</v>
      </c>
      <c r="C29" s="82"/>
      <c r="D29" s="82"/>
      <c r="E29" s="82"/>
      <c r="F29" s="83"/>
      <c r="G29" s="1"/>
    </row>
    <row r="30" spans="1:7" x14ac:dyDescent="0.45">
      <c r="A30" s="1"/>
      <c r="B30" s="40" t="s">
        <v>17</v>
      </c>
      <c r="C30" s="40" t="s">
        <v>11</v>
      </c>
      <c r="D30" s="41"/>
      <c r="E30" s="40" t="s">
        <v>32</v>
      </c>
      <c r="F30" s="46"/>
      <c r="G30" s="1"/>
    </row>
    <row r="31" spans="1:7" x14ac:dyDescent="0.45">
      <c r="A31" s="1"/>
      <c r="B31" s="20" t="s">
        <v>184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45">
      <c r="A32" s="1"/>
      <c r="B32" s="47" t="s">
        <v>131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3" t="s">
        <v>87</v>
      </c>
      <c r="C33" s="24">
        <f>-C32*'Fane 12. Nøgletal'!C18</f>
        <v>0</v>
      </c>
      <c r="D33" s="25" t="s">
        <v>3</v>
      </c>
      <c r="E33" s="24">
        <f>-E32*'Fane 12. Nøgletal'!C18</f>
        <v>0</v>
      </c>
      <c r="F33" s="25" t="s">
        <v>3</v>
      </c>
      <c r="G33" s="1"/>
    </row>
    <row r="34" spans="1:7" x14ac:dyDescent="0.45">
      <c r="A34" s="1"/>
      <c r="B34" s="47" t="s">
        <v>147</v>
      </c>
      <c r="C34" s="10">
        <f>SUM(C32:C33)*(1+'Fane 12. Nøgletal'!C13)^5</f>
        <v>0</v>
      </c>
      <c r="D34" s="11" t="s">
        <v>3</v>
      </c>
      <c r="E34" s="10">
        <f>SUM(E32:E33)*(1+'Fane 12. Nøgletal'!C13)^5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dpLo63bBA2kNlE6El5s/e59vCdV0sI+z1EKNONqMi/eHzo+VbVIEPqt9iq3eyNieCb630uL0JU/CLKk+cge2tA==" saltValue="ZgwcU82oPBXwOeKlPOp66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9" t="s">
        <v>101</v>
      </c>
      <c r="C3" s="79"/>
      <c r="D3" s="79"/>
      <c r="E3" s="79"/>
      <c r="F3" s="79"/>
      <c r="G3" s="1"/>
    </row>
    <row r="4" spans="1:7" ht="15" customHeight="1" x14ac:dyDescent="0.45">
      <c r="A4" s="1"/>
      <c r="B4" s="79"/>
      <c r="C4" s="79"/>
      <c r="D4" s="79"/>
      <c r="E4" s="79"/>
      <c r="F4" s="79"/>
      <c r="G4" s="1"/>
    </row>
    <row r="5" spans="1:7" x14ac:dyDescent="0.45">
      <c r="A5" s="1"/>
      <c r="B5" s="79"/>
      <c r="C5" s="79"/>
      <c r="D5" s="79"/>
      <c r="E5" s="79"/>
      <c r="F5" s="79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1" t="s">
        <v>60</v>
      </c>
      <c r="C8" s="82"/>
      <c r="D8" s="82"/>
      <c r="E8" s="82"/>
      <c r="F8" s="83"/>
      <c r="G8" s="1"/>
    </row>
    <row r="9" spans="1:7" x14ac:dyDescent="0.45">
      <c r="A9" s="1"/>
      <c r="B9" s="91" t="s">
        <v>132</v>
      </c>
      <c r="C9" s="92"/>
      <c r="D9" s="93"/>
      <c r="E9" s="8">
        <v>59697</v>
      </c>
      <c r="F9" s="12" t="s">
        <v>3</v>
      </c>
      <c r="G9" s="1"/>
    </row>
    <row r="10" spans="1:7" x14ac:dyDescent="0.45">
      <c r="A10" s="1"/>
      <c r="B10" s="73" t="s">
        <v>87</v>
      </c>
      <c r="C10" s="74"/>
      <c r="D10" s="75"/>
      <c r="E10" s="8">
        <f>-E9*'Fane 12. Nøgletal'!C18</f>
        <v>-1014.849</v>
      </c>
      <c r="F10" s="12" t="s">
        <v>3</v>
      </c>
      <c r="G10" s="1"/>
    </row>
    <row r="11" spans="1:7" x14ac:dyDescent="0.45">
      <c r="A11" s="1"/>
      <c r="B11" s="81" t="s">
        <v>63</v>
      </c>
      <c r="C11" s="82"/>
      <c r="D11" s="83"/>
      <c r="E11" s="10">
        <f>SUM(E9:E10)*(1+'Fane 12. Nøgletal'!C13)^2</f>
        <v>60241.58456439025</v>
      </c>
      <c r="F11" s="11" t="s">
        <v>3</v>
      </c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81" t="s">
        <v>61</v>
      </c>
      <c r="C13" s="82"/>
      <c r="D13" s="82"/>
      <c r="E13" s="82"/>
      <c r="F13" s="83"/>
      <c r="G13" s="1"/>
    </row>
    <row r="14" spans="1:7" x14ac:dyDescent="0.45">
      <c r="A14" s="1"/>
      <c r="B14" s="91" t="s">
        <v>132</v>
      </c>
      <c r="C14" s="92"/>
      <c r="D14" s="93"/>
      <c r="E14" s="8">
        <v>59697</v>
      </c>
      <c r="F14" s="12" t="s">
        <v>3</v>
      </c>
      <c r="G14" s="1"/>
    </row>
    <row r="15" spans="1:7" x14ac:dyDescent="0.45">
      <c r="A15" s="1"/>
      <c r="B15" s="73" t="s">
        <v>87</v>
      </c>
      <c r="C15" s="74"/>
      <c r="D15" s="75"/>
      <c r="E15" s="8">
        <f>-E14*'Fane 12. Nøgletal'!C18</f>
        <v>-1014.849</v>
      </c>
      <c r="F15" s="12" t="s">
        <v>3</v>
      </c>
      <c r="G15" s="1"/>
    </row>
    <row r="16" spans="1:7" x14ac:dyDescent="0.45">
      <c r="A16" s="1"/>
      <c r="B16" s="81" t="s">
        <v>64</v>
      </c>
      <c r="C16" s="82"/>
      <c r="D16" s="83"/>
      <c r="E16" s="10">
        <f>SUM(E14:E15)*(1+'Fane 12. Nøgletal'!C13)^3</f>
        <v>61036.773480640208</v>
      </c>
      <c r="F16" s="11" t="s">
        <v>3</v>
      </c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81" t="s">
        <v>62</v>
      </c>
      <c r="C18" s="82"/>
      <c r="D18" s="82"/>
      <c r="E18" s="82"/>
      <c r="F18" s="83"/>
      <c r="G18" s="1"/>
    </row>
    <row r="19" spans="1:7" x14ac:dyDescent="0.45">
      <c r="A19" s="1"/>
      <c r="B19" s="91" t="s">
        <v>132</v>
      </c>
      <c r="C19" s="92"/>
      <c r="D19" s="93"/>
      <c r="E19" s="8">
        <v>59697</v>
      </c>
      <c r="F19" s="12" t="s">
        <v>3</v>
      </c>
      <c r="G19" s="1"/>
    </row>
    <row r="20" spans="1:7" x14ac:dyDescent="0.45">
      <c r="A20" s="1"/>
      <c r="B20" s="73" t="s">
        <v>87</v>
      </c>
      <c r="C20" s="74"/>
      <c r="D20" s="75"/>
      <c r="E20" s="8">
        <f>-E19*'Fane 12. Nøgletal'!C18</f>
        <v>-1014.849</v>
      </c>
      <c r="F20" s="12" t="s">
        <v>3</v>
      </c>
      <c r="G20" s="1"/>
    </row>
    <row r="21" spans="1:7" x14ac:dyDescent="0.45">
      <c r="A21" s="1"/>
      <c r="B21" s="81" t="s">
        <v>65</v>
      </c>
      <c r="C21" s="82"/>
      <c r="D21" s="83"/>
      <c r="E21" s="10">
        <f>SUM(E19:E20)*(1+'Fane 12. Nøgletal'!C13)^4</f>
        <v>61842.458890584669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81" t="s">
        <v>133</v>
      </c>
      <c r="C23" s="82"/>
      <c r="D23" s="82"/>
      <c r="E23" s="82"/>
      <c r="F23" s="83"/>
      <c r="G23" s="1"/>
    </row>
    <row r="24" spans="1:7" ht="15" customHeight="1" x14ac:dyDescent="0.45">
      <c r="A24" s="1"/>
      <c r="B24" s="91" t="s">
        <v>132</v>
      </c>
      <c r="C24" s="92"/>
      <c r="D24" s="93"/>
      <c r="E24" s="8">
        <v>59697</v>
      </c>
      <c r="F24" s="12" t="s">
        <v>3</v>
      </c>
      <c r="G24" s="1"/>
    </row>
    <row r="25" spans="1:7" x14ac:dyDescent="0.45">
      <c r="A25" s="1"/>
      <c r="B25" s="73" t="s">
        <v>87</v>
      </c>
      <c r="C25" s="74"/>
      <c r="D25" s="75"/>
      <c r="E25" s="8">
        <f>-E24*'Fane 12. Nøgletal'!C18</f>
        <v>-1014.849</v>
      </c>
      <c r="F25" s="12" t="s">
        <v>3</v>
      </c>
      <c r="G25" s="1"/>
    </row>
    <row r="26" spans="1:7" x14ac:dyDescent="0.45">
      <c r="A26" s="1"/>
      <c r="B26" s="81" t="s">
        <v>134</v>
      </c>
      <c r="C26" s="82"/>
      <c r="D26" s="83"/>
      <c r="E26" s="10">
        <f>SUM(E24:E25)*(1+'Fane 12. Nøgletal'!C13)^5</f>
        <v>62658.779347940399</v>
      </c>
      <c r="F26" s="11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052pQWboW6uylGJXbr0gpDYzfTSA3g7nbt3m67U2ZZFyl79R/n9owKi7D2nwv3WCmAlIMAQosxG3NPvvr4BCUQ==" saltValue="FAOEIXQKDzIA9ykmHYCP6w==" spinCount="100000" sheet="1" objects="1" scenarios="1"/>
  <mergeCells count="17">
    <mergeCell ref="B16:D16"/>
    <mergeCell ref="B18:F18"/>
    <mergeCell ref="B13:F13"/>
    <mergeCell ref="B26:D26"/>
    <mergeCell ref="B23:F23"/>
    <mergeCell ref="B24:D24"/>
    <mergeCell ref="B21:D21"/>
    <mergeCell ref="B19:D19"/>
    <mergeCell ref="B20:D20"/>
    <mergeCell ref="B25:D25"/>
    <mergeCell ref="B14:D14"/>
    <mergeCell ref="B11:D11"/>
    <mergeCell ref="B10:D10"/>
    <mergeCell ref="B15:D15"/>
    <mergeCell ref="B3:F5"/>
    <mergeCell ref="B8:F8"/>
    <mergeCell ref="B9:D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2.5976562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9" t="s">
        <v>135</v>
      </c>
      <c r="C3" s="79"/>
      <c r="D3" s="79"/>
      <c r="E3" s="79"/>
      <c r="F3" s="79"/>
      <c r="G3" s="1"/>
    </row>
    <row r="4" spans="1:7" ht="25.5" customHeight="1" x14ac:dyDescent="0.45">
      <c r="A4" s="1"/>
      <c r="B4" s="79"/>
      <c r="C4" s="79"/>
      <c r="D4" s="79"/>
      <c r="E4" s="79"/>
      <c r="F4" s="7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1" t="s">
        <v>136</v>
      </c>
      <c r="C8" s="82"/>
      <c r="D8" s="82"/>
      <c r="E8" s="82"/>
      <c r="F8" s="83"/>
      <c r="G8" s="1"/>
    </row>
    <row r="9" spans="1:7" ht="15" customHeight="1" x14ac:dyDescent="0.45">
      <c r="A9" s="1"/>
      <c r="B9" s="45" t="s">
        <v>137</v>
      </c>
      <c r="C9" s="94" t="s">
        <v>11</v>
      </c>
      <c r="D9" s="95"/>
      <c r="E9" s="94" t="s">
        <v>32</v>
      </c>
      <c r="F9" s="95"/>
      <c r="G9" s="1"/>
    </row>
    <row r="10" spans="1:7" x14ac:dyDescent="0.45">
      <c r="A10" s="1"/>
      <c r="B10" s="20" t="s">
        <v>182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138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139</v>
      </c>
      <c r="C12" s="10">
        <f>C11*(1+'Fane 12. Nøgletal'!C13)</f>
        <v>0</v>
      </c>
      <c r="D12" s="11" t="s">
        <v>3</v>
      </c>
      <c r="E12" s="10">
        <f>E11*(1+'Fane 12.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8jKNd7hcY58/jWhsFqLVjd5TEAl5/BmAmx3Q+I0lkp42dzc76zl1a5CC2a4qGDQgNg2eMw2U6WhMjp+wRAXscg==" saltValue="coXcsBQ4u/yL2gBeyNBC1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9" t="s">
        <v>91</v>
      </c>
      <c r="C3" s="79"/>
      <c r="D3" s="79"/>
      <c r="E3" s="79"/>
      <c r="F3" s="79"/>
      <c r="G3" s="1"/>
    </row>
    <row r="4" spans="1:7" ht="25.5" customHeight="1" x14ac:dyDescent="0.45">
      <c r="A4" s="1"/>
      <c r="B4" s="79"/>
      <c r="C4" s="79"/>
      <c r="D4" s="79"/>
      <c r="E4" s="79"/>
      <c r="F4" s="7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1" t="s">
        <v>67</v>
      </c>
      <c r="C8" s="82"/>
      <c r="D8" s="82"/>
      <c r="E8" s="82"/>
      <c r="F8" s="83"/>
      <c r="G8" s="1"/>
    </row>
    <row r="9" spans="1:7" ht="15" customHeight="1" x14ac:dyDescent="0.45">
      <c r="A9" s="1"/>
      <c r="B9" s="45" t="s">
        <v>18</v>
      </c>
      <c r="C9" s="45" t="s">
        <v>11</v>
      </c>
      <c r="D9" s="46"/>
      <c r="E9" s="45" t="s">
        <v>32</v>
      </c>
      <c r="F9" s="46"/>
      <c r="G9" s="1"/>
    </row>
    <row r="10" spans="1:7" x14ac:dyDescent="0.45">
      <c r="A10" s="1"/>
      <c r="B10" s="20" t="s">
        <v>183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7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7" t="s">
        <v>56</v>
      </c>
      <c r="C12" s="10">
        <f>C11*(1+'Fane 12. Nøgletal'!C13)</f>
        <v>0</v>
      </c>
      <c r="D12" s="11" t="s">
        <v>3</v>
      </c>
      <c r="E12" s="10">
        <f>E11*(1+'Fane 12.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1" t="s">
        <v>66</v>
      </c>
      <c r="C14" s="82"/>
      <c r="D14" s="82"/>
      <c r="E14" s="82"/>
      <c r="F14" s="83"/>
      <c r="G14" s="1"/>
    </row>
    <row r="15" spans="1:7" x14ac:dyDescent="0.45">
      <c r="A15" s="1"/>
      <c r="B15" s="45" t="s">
        <v>18</v>
      </c>
      <c r="C15" s="45" t="s">
        <v>11</v>
      </c>
      <c r="D15" s="46"/>
      <c r="E15" s="45" t="s">
        <v>32</v>
      </c>
      <c r="F15" s="46"/>
      <c r="G15" s="1"/>
    </row>
    <row r="16" spans="1:7" x14ac:dyDescent="0.45">
      <c r="A16" s="1"/>
      <c r="B16" s="20" t="s">
        <v>183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7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7" t="s">
        <v>57</v>
      </c>
      <c r="C18" s="10">
        <f>C17*(1+'Fane 12. Nøgletal'!C13)^2</f>
        <v>0</v>
      </c>
      <c r="D18" s="11" t="s">
        <v>3</v>
      </c>
      <c r="E18" s="10">
        <f>E17*(1+'Fane 12. Nøgletal'!C13)^2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1" t="s">
        <v>68</v>
      </c>
      <c r="C20" s="82"/>
      <c r="D20" s="82"/>
      <c r="E20" s="82"/>
      <c r="F20" s="83"/>
      <c r="G20" s="1"/>
    </row>
    <row r="21" spans="1:7" x14ac:dyDescent="0.45">
      <c r="A21" s="1"/>
      <c r="B21" s="45" t="s">
        <v>18</v>
      </c>
      <c r="C21" s="45" t="s">
        <v>11</v>
      </c>
      <c r="D21" s="46"/>
      <c r="E21" s="45" t="s">
        <v>32</v>
      </c>
      <c r="F21" s="46"/>
      <c r="G21" s="1"/>
    </row>
    <row r="22" spans="1:7" x14ac:dyDescent="0.45">
      <c r="A22" s="1"/>
      <c r="B22" s="20" t="s">
        <v>183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7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7" t="s">
        <v>58</v>
      </c>
      <c r="C24" s="10">
        <f>C23*(1+'Fane 12. Nøgletal'!C13)^3</f>
        <v>0</v>
      </c>
      <c r="D24" s="11" t="s">
        <v>3</v>
      </c>
      <c r="E24" s="10">
        <f>E23*(1+'Fane 12.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1" t="s">
        <v>140</v>
      </c>
      <c r="C26" s="82"/>
      <c r="D26" s="82"/>
      <c r="E26" s="82"/>
      <c r="F26" s="83"/>
      <c r="G26" s="1"/>
    </row>
    <row r="27" spans="1:7" x14ac:dyDescent="0.45">
      <c r="A27" s="1"/>
      <c r="B27" s="45" t="s">
        <v>18</v>
      </c>
      <c r="C27" s="45" t="s">
        <v>11</v>
      </c>
      <c r="D27" s="46"/>
      <c r="E27" s="45" t="s">
        <v>32</v>
      </c>
      <c r="F27" s="46"/>
      <c r="G27" s="1"/>
    </row>
    <row r="28" spans="1:7" x14ac:dyDescent="0.45">
      <c r="A28" s="1"/>
      <c r="B28" s="20" t="s">
        <v>183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7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7" t="s">
        <v>141</v>
      </c>
      <c r="C30" s="10">
        <f>C29*(1+'Fane 12. Nøgletal'!C13)^4</f>
        <v>0</v>
      </c>
      <c r="D30" s="11" t="s">
        <v>3</v>
      </c>
      <c r="E30" s="10">
        <f>E29*(1+'Fane 12. Nøgletal'!C13)^4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FxUqGq7i9fMFaUbg8dCYxMQlNdYsSwiCN73aMKX5aLS+3rSEjfdakU/WPBGcYlijF9RjzLOiGOITlXpnkaEHbw==" saltValue="6JxiqpVEuFguMSaYtmGsD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79" t="s">
        <v>172</v>
      </c>
      <c r="C3" s="79"/>
      <c r="D3" s="1"/>
    </row>
    <row r="4" spans="1:4" ht="25.5" customHeight="1" x14ac:dyDescent="0.45">
      <c r="A4" s="1"/>
      <c r="B4" s="79"/>
      <c r="C4" s="79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7" t="s">
        <v>14</v>
      </c>
      <c r="C8" s="48"/>
      <c r="D8" s="1"/>
    </row>
    <row r="9" spans="1:4" x14ac:dyDescent="0.45">
      <c r="A9" s="1"/>
      <c r="B9" s="26" t="s">
        <v>99</v>
      </c>
      <c r="C9" s="21">
        <v>1.2699999999999999E-2</v>
      </c>
      <c r="D9" s="1"/>
    </row>
    <row r="10" spans="1:4" x14ac:dyDescent="0.45">
      <c r="A10" s="1"/>
      <c r="B10" s="26" t="s">
        <v>23</v>
      </c>
      <c r="C10" s="21">
        <v>1.7500000000000002E-2</v>
      </c>
      <c r="D10" s="1"/>
    </row>
    <row r="11" spans="1:4" x14ac:dyDescent="0.45">
      <c r="A11" s="1"/>
      <c r="B11" s="26" t="s">
        <v>24</v>
      </c>
      <c r="C11" s="21">
        <v>1.6899999999999998E-2</v>
      </c>
      <c r="D11" s="1"/>
    </row>
    <row r="12" spans="1:4" x14ac:dyDescent="0.45">
      <c r="A12" s="1"/>
      <c r="B12" s="28" t="s">
        <v>42</v>
      </c>
      <c r="C12" s="29">
        <v>1.9699999999999999E-2</v>
      </c>
      <c r="D12" s="1"/>
    </row>
    <row r="13" spans="1:4" x14ac:dyDescent="0.45">
      <c r="A13" s="1"/>
      <c r="B13" s="28" t="s">
        <v>142</v>
      </c>
      <c r="C13" s="29">
        <v>1.32E-2</v>
      </c>
      <c r="D13" s="1"/>
    </row>
    <row r="14" spans="1:4" x14ac:dyDescent="0.45">
      <c r="A14" s="1"/>
      <c r="B14" s="47"/>
      <c r="C14" s="48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7" t="s">
        <v>87</v>
      </c>
      <c r="C17" s="48"/>
      <c r="D17" s="1"/>
    </row>
    <row r="18" spans="1:4" x14ac:dyDescent="0.45">
      <c r="A18" s="1"/>
      <c r="B18" s="26" t="s">
        <v>100</v>
      </c>
      <c r="C18" s="21">
        <v>1.7000000000000001E-2</v>
      </c>
      <c r="D18" s="1"/>
    </row>
    <row r="19" spans="1:4" x14ac:dyDescent="0.45">
      <c r="A19" s="1"/>
      <c r="B19" s="96"/>
      <c r="C19" s="97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a6Z5guZLjmhSoDc/7UUMwCRG0nbsne1+2PepqI2jRvI5HrgaWsaNcOel3ZKSLlZKKUjv9QSP4eacJej123X7MQ==" saltValue="EJ6uEVdWJ+Mp7uUajiBqkQ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5" t="s">
        <v>110</v>
      </c>
      <c r="C3" s="65"/>
      <c r="D3" s="65"/>
      <c r="E3" s="65"/>
      <c r="F3" s="65"/>
      <c r="G3" s="1"/>
    </row>
    <row r="4" spans="1:7" ht="15" customHeight="1" x14ac:dyDescent="0.45">
      <c r="A4" s="1"/>
      <c r="B4" s="65"/>
      <c r="C4" s="65"/>
      <c r="D4" s="65"/>
      <c r="E4" s="65"/>
      <c r="F4" s="6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1" t="s">
        <v>13</v>
      </c>
      <c r="C8" s="31"/>
      <c r="D8" s="31"/>
      <c r="E8" s="31"/>
      <c r="F8" s="31"/>
      <c r="G8" s="1"/>
    </row>
    <row r="9" spans="1:7" x14ac:dyDescent="0.45">
      <c r="A9" s="1"/>
      <c r="B9" s="38" t="s">
        <v>27</v>
      </c>
      <c r="C9" s="38"/>
      <c r="D9" s="38"/>
      <c r="E9" s="7">
        <f>'Fane 3. Omkostninger i ØR2020'!$E$16</f>
        <v>22628532.491645049</v>
      </c>
      <c r="F9" s="38" t="s">
        <v>3</v>
      </c>
      <c r="G9" s="1"/>
    </row>
    <row r="10" spans="1:7" ht="17.100000000000001" customHeight="1" x14ac:dyDescent="0.45">
      <c r="A10" s="1"/>
      <c r="B10" s="38" t="s">
        <v>154</v>
      </c>
      <c r="C10" s="38"/>
      <c r="D10" s="38"/>
      <c r="E10" s="7">
        <v>1050399.7251596902</v>
      </c>
      <c r="F10" s="38" t="s">
        <v>3</v>
      </c>
      <c r="G10" s="1"/>
    </row>
    <row r="11" spans="1:7" ht="17.100000000000001" customHeight="1" x14ac:dyDescent="0.45">
      <c r="A11" s="1"/>
      <c r="B11" s="27" t="s">
        <v>102</v>
      </c>
      <c r="C11" s="38"/>
      <c r="D11" s="38"/>
      <c r="E11" s="7">
        <f>'Fane 8.1. Varige tillæg'!C12+'Fane 8.1. Varige tillæg'!E12</f>
        <v>343119.87604000006</v>
      </c>
      <c r="F11" s="38" t="s">
        <v>3</v>
      </c>
      <c r="G11" s="1"/>
    </row>
    <row r="12" spans="1:7" ht="17.100000000000001" customHeight="1" x14ac:dyDescent="0.45">
      <c r="A12" s="1"/>
      <c r="B12" s="27" t="s">
        <v>103</v>
      </c>
      <c r="C12" s="38"/>
      <c r="D12" s="38"/>
      <c r="E12" s="8">
        <f>-('Fane 11. Bortfald'!C12+'Fane 11. Bortfald'!E12)</f>
        <v>0</v>
      </c>
      <c r="F12" s="38" t="s">
        <v>3</v>
      </c>
      <c r="G12" s="1"/>
    </row>
    <row r="13" spans="1:7" ht="17.100000000000001" customHeight="1" x14ac:dyDescent="0.45">
      <c r="A13" s="1"/>
      <c r="B13" s="27" t="s">
        <v>111</v>
      </c>
      <c r="C13" s="38"/>
      <c r="D13" s="38"/>
      <c r="E13" s="8">
        <f>'Fane 10. Tilknyttet virksomhed'!C12+'Fane 10. Tilknyttet virksomhed'!E12</f>
        <v>0</v>
      </c>
      <c r="F13" s="38" t="s">
        <v>3</v>
      </c>
      <c r="G13" s="1"/>
    </row>
    <row r="14" spans="1:7" ht="17.100000000000001" customHeight="1" x14ac:dyDescent="0.45">
      <c r="A14" s="1"/>
      <c r="B14" s="27" t="s">
        <v>19</v>
      </c>
      <c r="C14" s="38"/>
      <c r="D14" s="38"/>
      <c r="E14" s="8">
        <f>SUM(E9:E13)*'Fane 12. Nøgletal'!C13</f>
        <v>317091.08762555057</v>
      </c>
      <c r="F14" s="38" t="s">
        <v>3</v>
      </c>
      <c r="G14" s="1"/>
    </row>
    <row r="15" spans="1:7" ht="17.100000000000001" customHeight="1" x14ac:dyDescent="0.45">
      <c r="A15" s="1"/>
      <c r="B15" s="27" t="s">
        <v>87</v>
      </c>
      <c r="C15" s="38"/>
      <c r="D15" s="38"/>
      <c r="E15" s="8">
        <f>-SUM(E9:E14)*'Fane 12. Nøgletal'!C18</f>
        <v>-413765.434067995</v>
      </c>
      <c r="F15" s="38" t="s">
        <v>3</v>
      </c>
      <c r="G15" s="1"/>
    </row>
    <row r="16" spans="1:7" ht="15" customHeight="1" x14ac:dyDescent="0.45">
      <c r="A16" s="1"/>
      <c r="B16" s="43" t="s">
        <v>21</v>
      </c>
      <c r="C16" s="42"/>
      <c r="D16" s="42"/>
      <c r="E16" s="9">
        <f>SUM(E9:E15)</f>
        <v>23925377.746402297</v>
      </c>
      <c r="F16" s="32" t="s">
        <v>3</v>
      </c>
      <c r="G16" s="1"/>
    </row>
    <row r="17" spans="1:7" ht="15" customHeight="1" x14ac:dyDescent="0.45">
      <c r="A17" s="1"/>
      <c r="B17" s="31" t="s">
        <v>12</v>
      </c>
      <c r="C17" s="31"/>
      <c r="D17" s="31"/>
      <c r="E17" s="31"/>
      <c r="F17" s="31"/>
      <c r="G17" s="1"/>
    </row>
    <row r="18" spans="1:7" ht="15" customHeight="1" x14ac:dyDescent="0.45">
      <c r="A18" s="1"/>
      <c r="B18" s="32" t="s">
        <v>12</v>
      </c>
      <c r="C18" s="32"/>
      <c r="D18" s="32"/>
      <c r="E18" s="9">
        <f>'Fane 4. Ikke-påvirkelige omk.'!C14+'Fane 4. Ikke-påvirkelige omk.'!C18+'Fane 4. Ikke-påvirkelige omk.'!C26</f>
        <v>668261.84699312015</v>
      </c>
      <c r="F18" s="32" t="s">
        <v>3</v>
      </c>
      <c r="G18" s="1"/>
    </row>
    <row r="19" spans="1:7" ht="15" customHeight="1" x14ac:dyDescent="0.45">
      <c r="A19" s="1"/>
      <c r="B19" s="31" t="s">
        <v>54</v>
      </c>
      <c r="C19" s="31"/>
      <c r="D19" s="31"/>
      <c r="E19" s="31"/>
      <c r="F19" s="31"/>
      <c r="G19" s="1"/>
    </row>
    <row r="20" spans="1:7" ht="15" customHeight="1" x14ac:dyDescent="0.45">
      <c r="A20" s="1"/>
      <c r="B20" s="43" t="s">
        <v>54</v>
      </c>
      <c r="C20" s="42"/>
      <c r="D20" s="42"/>
      <c r="E20" s="9">
        <f>'Fane 9. Periodevise driftsomk.'!E11</f>
        <v>60241.58456439025</v>
      </c>
      <c r="F20" s="32" t="s">
        <v>3</v>
      </c>
      <c r="G20" s="1"/>
    </row>
    <row r="21" spans="1:7" ht="15" customHeight="1" x14ac:dyDescent="0.45">
      <c r="A21" s="1"/>
      <c r="B21" s="31" t="s">
        <v>53</v>
      </c>
      <c r="C21" s="31"/>
      <c r="D21" s="31"/>
      <c r="E21" s="31"/>
      <c r="F21" s="31"/>
      <c r="G21" s="1"/>
    </row>
    <row r="22" spans="1:7" ht="15" customHeight="1" x14ac:dyDescent="0.45">
      <c r="A22" s="1"/>
      <c r="B22" s="27" t="s">
        <v>49</v>
      </c>
      <c r="C22" s="38"/>
      <c r="D22" s="38"/>
      <c r="E22" s="8">
        <f>'Fane 8.2. Engangstillæg'!C13</f>
        <v>0</v>
      </c>
      <c r="F22" s="38" t="s">
        <v>3</v>
      </c>
      <c r="G22" s="1"/>
    </row>
    <row r="23" spans="1:7" x14ac:dyDescent="0.45">
      <c r="A23" s="1"/>
      <c r="B23" s="27" t="s">
        <v>50</v>
      </c>
      <c r="C23" s="38"/>
      <c r="D23" s="38"/>
      <c r="E23" s="8">
        <f>'Fane 8.2. Engangstillæg'!E13</f>
        <v>0</v>
      </c>
      <c r="F23" s="38" t="s">
        <v>3</v>
      </c>
      <c r="G23" s="1"/>
    </row>
    <row r="24" spans="1:7" ht="15" customHeight="1" x14ac:dyDescent="0.45">
      <c r="A24" s="1"/>
      <c r="B24" s="43" t="s">
        <v>55</v>
      </c>
      <c r="C24" s="42"/>
      <c r="D24" s="42"/>
      <c r="E24" s="9">
        <f>SUM(E22:E23)</f>
        <v>0</v>
      </c>
      <c r="F24" s="32" t="s">
        <v>3</v>
      </c>
      <c r="G24" s="1"/>
    </row>
    <row r="25" spans="1:7" x14ac:dyDescent="0.45">
      <c r="A25" s="1"/>
      <c r="B25" s="31" t="s">
        <v>156</v>
      </c>
      <c r="C25" s="22"/>
      <c r="D25" s="48"/>
      <c r="E25" s="31"/>
      <c r="F25" s="31"/>
      <c r="G25" s="1"/>
    </row>
    <row r="26" spans="1:7" x14ac:dyDescent="0.45">
      <c r="A26" s="1"/>
      <c r="B26" s="43" t="s">
        <v>37</v>
      </c>
      <c r="C26" s="42"/>
      <c r="D26" s="42"/>
      <c r="E26" s="9">
        <f>'Fane 5. Kontrol af ØR2019'!E42</f>
        <v>1288027.4067333096</v>
      </c>
      <c r="F26" s="32" t="s">
        <v>3</v>
      </c>
      <c r="G26" s="1"/>
    </row>
    <row r="27" spans="1:7" x14ac:dyDescent="0.45">
      <c r="A27" s="1"/>
      <c r="B27" s="43" t="s">
        <v>155</v>
      </c>
      <c r="C27" s="42"/>
      <c r="D27" s="42"/>
      <c r="E27" s="9">
        <f>'Fane 5. Kontrol af ØR2019'!E43</f>
        <v>0</v>
      </c>
      <c r="F27" s="32" t="s">
        <v>3</v>
      </c>
      <c r="G27" s="1"/>
    </row>
    <row r="28" spans="1:7" x14ac:dyDescent="0.45">
      <c r="A28" s="1"/>
      <c r="B28" s="31" t="s">
        <v>108</v>
      </c>
      <c r="C28" s="31"/>
      <c r="D28" s="31"/>
      <c r="E28" s="31"/>
      <c r="F28" s="31"/>
      <c r="G28" s="1"/>
    </row>
    <row r="29" spans="1:7" x14ac:dyDescent="0.45">
      <c r="A29" s="1"/>
      <c r="B29" s="32" t="s">
        <v>108</v>
      </c>
      <c r="C29" s="32"/>
      <c r="D29" s="32"/>
      <c r="E29" s="9">
        <f>'Fane 6. Korrektion af ØR2019'!E17</f>
        <v>0</v>
      </c>
      <c r="F29" s="32" t="s">
        <v>3</v>
      </c>
      <c r="G29" s="1"/>
    </row>
    <row r="30" spans="1:7" x14ac:dyDescent="0.45">
      <c r="A30" s="1"/>
      <c r="B30" s="31" t="s">
        <v>29</v>
      </c>
      <c r="C30" s="31"/>
      <c r="D30" s="31"/>
      <c r="E30" s="10">
        <f>SUM(E16,E18,E20,E24,E26,E27,E29)</f>
        <v>25941908.584693115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tVsBmujfooQQ6s4RUipOgKEREOR1FDanm9Rd3n02chrNB1EyUrT4wr4OZKxv8V7pf1HBd8So6/8VjmwHpIxY/w==" saltValue="wxyOUFJwVGHX01jQ82ciN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5" t="s">
        <v>112</v>
      </c>
      <c r="C3" s="65"/>
      <c r="D3" s="65"/>
      <c r="E3" s="65"/>
      <c r="F3" s="65"/>
      <c r="G3" s="1"/>
    </row>
    <row r="4" spans="1:7" ht="15" customHeight="1" x14ac:dyDescent="0.45">
      <c r="A4" s="1"/>
      <c r="B4" s="65"/>
      <c r="C4" s="65"/>
      <c r="D4" s="65"/>
      <c r="E4" s="65"/>
      <c r="F4" s="65"/>
      <c r="G4" s="1"/>
    </row>
    <row r="5" spans="1:7" x14ac:dyDescent="0.45">
      <c r="A5" s="1"/>
      <c r="B5" s="66"/>
      <c r="C5" s="66"/>
      <c r="D5" s="66"/>
      <c r="E5" s="66"/>
      <c r="F5" s="66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1" t="s">
        <v>13</v>
      </c>
      <c r="C8" s="31"/>
      <c r="D8" s="31"/>
      <c r="E8" s="31"/>
      <c r="F8" s="31"/>
      <c r="G8" s="1"/>
    </row>
    <row r="9" spans="1:7" ht="15" customHeight="1" x14ac:dyDescent="0.45">
      <c r="A9" s="1"/>
      <c r="B9" s="38" t="s">
        <v>28</v>
      </c>
      <c r="C9" s="38"/>
      <c r="D9" s="38"/>
      <c r="E9" s="7">
        <f>'Fane 2.1. Økonomisk ramme 2021'!E16</f>
        <v>23925377.746402297</v>
      </c>
      <c r="F9" s="38" t="s">
        <v>3</v>
      </c>
      <c r="G9" s="1"/>
    </row>
    <row r="10" spans="1:7" ht="15" customHeight="1" x14ac:dyDescent="0.45">
      <c r="A10" s="1"/>
      <c r="B10" s="27" t="s">
        <v>103</v>
      </c>
      <c r="C10" s="38"/>
      <c r="D10" s="38"/>
      <c r="E10" s="7">
        <f>-('Fane 11. Bortfald'!C18+'Fane 11. Bortfald'!E18)</f>
        <v>0</v>
      </c>
      <c r="F10" s="38" t="s">
        <v>3</v>
      </c>
      <c r="G10" s="1"/>
    </row>
    <row r="11" spans="1:7" ht="15" customHeight="1" x14ac:dyDescent="0.45">
      <c r="A11" s="1"/>
      <c r="B11" s="39" t="s">
        <v>19</v>
      </c>
      <c r="C11" s="38"/>
      <c r="D11" s="38"/>
      <c r="E11" s="8">
        <f>SUM(E9:E10)*'Fane 12. Nøgletal'!C13</f>
        <v>315814.98625251034</v>
      </c>
      <c r="F11" s="38" t="s">
        <v>3</v>
      </c>
      <c r="G11" s="1"/>
    </row>
    <row r="12" spans="1:7" ht="15" customHeight="1" x14ac:dyDescent="0.45">
      <c r="A12" s="1"/>
      <c r="B12" s="39" t="s">
        <v>87</v>
      </c>
      <c r="C12" s="38"/>
      <c r="D12" s="38"/>
      <c r="E12" s="8">
        <f>-SUM(E9:E11)*'Fane 12. Nøgletal'!C18</f>
        <v>-412100.27645513171</v>
      </c>
      <c r="F12" s="38" t="s">
        <v>3</v>
      </c>
      <c r="G12" s="1"/>
    </row>
    <row r="13" spans="1:7" ht="15" customHeight="1" x14ac:dyDescent="0.45">
      <c r="A13" s="1"/>
      <c r="B13" s="42" t="s">
        <v>21</v>
      </c>
      <c r="C13" s="42"/>
      <c r="D13" s="42"/>
      <c r="E13" s="9">
        <f>SUM(E9:E12)</f>
        <v>23829092.456199676</v>
      </c>
      <c r="F13" s="32" t="s">
        <v>3</v>
      </c>
      <c r="G13" s="1"/>
    </row>
    <row r="14" spans="1:7" x14ac:dyDescent="0.45">
      <c r="A14" s="1"/>
      <c r="B14" s="31" t="s">
        <v>12</v>
      </c>
      <c r="C14" s="31"/>
      <c r="D14" s="31"/>
      <c r="E14" s="31"/>
      <c r="F14" s="31"/>
      <c r="G14" s="1"/>
    </row>
    <row r="15" spans="1:7" ht="15" customHeight="1" x14ac:dyDescent="0.45">
      <c r="A15" s="1"/>
      <c r="B15" s="32" t="s">
        <v>12</v>
      </c>
      <c r="C15" s="32"/>
      <c r="D15" s="32"/>
      <c r="E15" s="9">
        <f>'Fane 4. Ikke-påvirkelige omk.'!C14*(1+'Fane 12. Nøgletal'!C13)+'Fane 4. Ikke-påvirkelige omk.'!C19+'Fane 4. Ikke-påvirkelige omk.'!C27</f>
        <v>677082.90337342944</v>
      </c>
      <c r="F15" s="32" t="s">
        <v>3</v>
      </c>
      <c r="G15" s="1"/>
    </row>
    <row r="16" spans="1:7" ht="15" customHeight="1" x14ac:dyDescent="0.45">
      <c r="A16" s="1"/>
      <c r="B16" s="31" t="s">
        <v>54</v>
      </c>
      <c r="C16" s="31"/>
      <c r="D16" s="31"/>
      <c r="E16" s="31"/>
      <c r="F16" s="31"/>
      <c r="G16" s="1"/>
    </row>
    <row r="17" spans="1:7" ht="15" customHeight="1" x14ac:dyDescent="0.45">
      <c r="A17" s="1"/>
      <c r="B17" s="43" t="s">
        <v>54</v>
      </c>
      <c r="C17" s="42"/>
      <c r="D17" s="42"/>
      <c r="E17" s="9">
        <f>'Fane 9. Periodevise driftsomk.'!E16</f>
        <v>61036.773480640208</v>
      </c>
      <c r="F17" s="32" t="s">
        <v>3</v>
      </c>
      <c r="G17" s="1"/>
    </row>
    <row r="18" spans="1:7" ht="15" customHeight="1" x14ac:dyDescent="0.45">
      <c r="A18" s="1"/>
      <c r="B18" s="31" t="s">
        <v>53</v>
      </c>
      <c r="C18" s="31"/>
      <c r="D18" s="31"/>
      <c r="E18" s="31"/>
      <c r="F18" s="31"/>
      <c r="G18" s="1"/>
    </row>
    <row r="19" spans="1:7" ht="15" customHeight="1" x14ac:dyDescent="0.45">
      <c r="A19" s="1"/>
      <c r="B19" s="27" t="s">
        <v>49</v>
      </c>
      <c r="C19" s="38"/>
      <c r="D19" s="38"/>
      <c r="E19" s="8">
        <f>'Fane 8.2. Engangstillæg'!C20</f>
        <v>0</v>
      </c>
      <c r="F19" s="38" t="s">
        <v>3</v>
      </c>
      <c r="G19" s="1"/>
    </row>
    <row r="20" spans="1:7" ht="15" customHeight="1" x14ac:dyDescent="0.45">
      <c r="A20" s="1"/>
      <c r="B20" s="27" t="s">
        <v>50</v>
      </c>
      <c r="C20" s="38"/>
      <c r="D20" s="38"/>
      <c r="E20" s="8">
        <f>'Fane 8.2. Engangstillæg'!E20</f>
        <v>0</v>
      </c>
      <c r="F20" s="38" t="s">
        <v>3</v>
      </c>
      <c r="G20" s="1"/>
    </row>
    <row r="21" spans="1:7" ht="15" customHeight="1" x14ac:dyDescent="0.45">
      <c r="A21" s="1"/>
      <c r="B21" s="43" t="s">
        <v>55</v>
      </c>
      <c r="C21" s="42"/>
      <c r="D21" s="42"/>
      <c r="E21" s="9">
        <f>SUM(E19:E20)</f>
        <v>0</v>
      </c>
      <c r="F21" s="32" t="s">
        <v>3</v>
      </c>
      <c r="G21" s="1"/>
    </row>
    <row r="22" spans="1:7" x14ac:dyDescent="0.45">
      <c r="A22" s="1"/>
      <c r="B22" s="31" t="s">
        <v>156</v>
      </c>
      <c r="C22" s="22"/>
      <c r="D22" s="48"/>
      <c r="E22" s="31"/>
      <c r="F22" s="31"/>
      <c r="G22" s="1"/>
    </row>
    <row r="23" spans="1:7" ht="15" customHeight="1" x14ac:dyDescent="0.45">
      <c r="A23" s="1"/>
      <c r="B23" s="43" t="s">
        <v>37</v>
      </c>
      <c r="C23" s="42"/>
      <c r="D23" s="42"/>
      <c r="E23" s="9">
        <f>'Fane 5. Kontrol af ØR2019'!E42</f>
        <v>1288027.4067333096</v>
      </c>
      <c r="F23" s="32" t="s">
        <v>3</v>
      </c>
      <c r="G23" s="1"/>
    </row>
    <row r="24" spans="1:7" x14ac:dyDescent="0.45">
      <c r="A24" s="1"/>
      <c r="B24" s="43" t="s">
        <v>155</v>
      </c>
      <c r="C24" s="42"/>
      <c r="D24" s="42"/>
      <c r="E24" s="9">
        <f>'Fane 5. Kontrol af ØR2019'!E43</f>
        <v>0</v>
      </c>
      <c r="F24" s="32" t="s">
        <v>3</v>
      </c>
      <c r="G24" s="1"/>
    </row>
    <row r="25" spans="1:7" x14ac:dyDescent="0.45">
      <c r="A25" s="1"/>
      <c r="B25" s="31" t="s">
        <v>30</v>
      </c>
      <c r="C25" s="31"/>
      <c r="D25" s="31"/>
      <c r="E25" s="10">
        <f>SUM(E13,E15,E17,E21,E23,E24)</f>
        <v>25855239.53978705</v>
      </c>
      <c r="F25" s="11" t="s">
        <v>3</v>
      </c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PYPjfkj/FVNE36hAs7mi4uLs0g6rAa9HRXOy660sc72BuhuaWDHrlR9tFP+/K8yuqJV8g/M8SEGEq1HtudUx5A==" saltValue="bbSPAoG3VRkeisHUYoySn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5" t="s">
        <v>113</v>
      </c>
      <c r="C3" s="65"/>
      <c r="D3" s="65"/>
      <c r="E3" s="65"/>
      <c r="F3" s="65"/>
      <c r="G3" s="1"/>
    </row>
    <row r="4" spans="1:7" ht="15" customHeight="1" x14ac:dyDescent="0.45">
      <c r="A4" s="1"/>
      <c r="B4" s="65"/>
      <c r="C4" s="65"/>
      <c r="D4" s="65"/>
      <c r="E4" s="65"/>
      <c r="F4" s="65"/>
      <c r="G4" s="1"/>
    </row>
    <row r="5" spans="1:7" x14ac:dyDescent="0.45">
      <c r="A5" s="1"/>
      <c r="B5" s="66"/>
      <c r="C5" s="66"/>
      <c r="D5" s="66"/>
      <c r="E5" s="66"/>
      <c r="F5" s="66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1" t="s">
        <v>13</v>
      </c>
      <c r="C7" s="31"/>
      <c r="D7" s="31"/>
      <c r="E7" s="31"/>
      <c r="F7" s="31"/>
      <c r="G7" s="1"/>
    </row>
    <row r="8" spans="1:7" ht="15" customHeight="1" x14ac:dyDescent="0.45">
      <c r="A8" s="1"/>
      <c r="B8" s="38" t="s">
        <v>28</v>
      </c>
      <c r="C8" s="38"/>
      <c r="D8" s="38"/>
      <c r="E8" s="7">
        <f>'Fane 2.2. Økonomisk ramme 2022'!E13</f>
        <v>23829092.456199676</v>
      </c>
      <c r="F8" s="38" t="s">
        <v>3</v>
      </c>
      <c r="G8" s="1"/>
    </row>
    <row r="9" spans="1:7" ht="15" customHeight="1" x14ac:dyDescent="0.45">
      <c r="A9" s="1"/>
      <c r="B9" s="39" t="s">
        <v>153</v>
      </c>
      <c r="C9" s="38"/>
      <c r="D9" s="38"/>
      <c r="E9" s="7">
        <f>'Fane 2.2. Økonomisk ramme 2022'!E10*(1-'Fane 12. Nøgletal'!C18)</f>
        <v>0</v>
      </c>
      <c r="F9" s="38" t="s">
        <v>3</v>
      </c>
      <c r="G9" s="1"/>
    </row>
    <row r="10" spans="1:7" ht="15" customHeight="1" x14ac:dyDescent="0.45">
      <c r="A10" s="1"/>
      <c r="B10" s="38" t="s">
        <v>103</v>
      </c>
      <c r="C10" s="38"/>
      <c r="D10" s="38"/>
      <c r="E10" s="7">
        <f>-('Fane 11. Bortfald'!C24+'Fane 11. Bortfald'!E24)</f>
        <v>0</v>
      </c>
      <c r="F10" s="38" t="s">
        <v>3</v>
      </c>
      <c r="G10" s="1"/>
    </row>
    <row r="11" spans="1:7" ht="15" customHeight="1" x14ac:dyDescent="0.45">
      <c r="A11" s="1"/>
      <c r="B11" s="39" t="s">
        <v>19</v>
      </c>
      <c r="C11" s="38"/>
      <c r="D11" s="38"/>
      <c r="E11" s="8">
        <f>(E8-E9)*'Fane 12. Nøgletal'!C13+SUM(E9:E10)*'Fane 12. Nøgletal'!C13</f>
        <v>314544.02042183571</v>
      </c>
      <c r="F11" s="38" t="s">
        <v>3</v>
      </c>
      <c r="G11" s="1"/>
    </row>
    <row r="12" spans="1:7" x14ac:dyDescent="0.45">
      <c r="A12" s="1"/>
      <c r="B12" s="39" t="s">
        <v>87</v>
      </c>
      <c r="C12" s="38"/>
      <c r="D12" s="38"/>
      <c r="E12" s="8">
        <f>-SUM(E8,E10:E11)*'Fane 12. Nøgletal'!C18</f>
        <v>-410441.82010256575</v>
      </c>
      <c r="F12" s="38" t="s">
        <v>3</v>
      </c>
      <c r="G12" s="1"/>
    </row>
    <row r="13" spans="1:7" x14ac:dyDescent="0.45">
      <c r="A13" s="1"/>
      <c r="B13" s="42" t="s">
        <v>21</v>
      </c>
      <c r="C13" s="42"/>
      <c r="D13" s="42"/>
      <c r="E13" s="9">
        <f>SUM(E8,E10:E12)</f>
        <v>23733194.656518947</v>
      </c>
      <c r="F13" s="32" t="s">
        <v>3</v>
      </c>
      <c r="G13" s="1"/>
    </row>
    <row r="14" spans="1:7" ht="15" customHeight="1" x14ac:dyDescent="0.45">
      <c r="A14" s="1"/>
      <c r="B14" s="31" t="s">
        <v>12</v>
      </c>
      <c r="C14" s="31"/>
      <c r="D14" s="31"/>
      <c r="E14" s="31"/>
      <c r="F14" s="31"/>
      <c r="G14" s="1"/>
    </row>
    <row r="15" spans="1:7" ht="15" customHeight="1" x14ac:dyDescent="0.45">
      <c r="A15" s="1"/>
      <c r="B15" s="32" t="s">
        <v>12</v>
      </c>
      <c r="C15" s="32"/>
      <c r="D15" s="32"/>
      <c r="E15" s="9">
        <f>'Fane 4. Ikke-påvirkelige omk.'!C14*(1+'Fane 12. Nøgletal'!C13)^2+'Fane 4. Ikke-påvirkelige omk.'!C20+'Fane 4. Ikke-påvirkelige omk.'!C28</f>
        <v>686020.39769795875</v>
      </c>
      <c r="F15" s="32" t="s">
        <v>3</v>
      </c>
      <c r="G15" s="1"/>
    </row>
    <row r="16" spans="1:7" ht="15" customHeight="1" x14ac:dyDescent="0.45">
      <c r="A16" s="1"/>
      <c r="B16" s="31" t="s">
        <v>54</v>
      </c>
      <c r="C16" s="31"/>
      <c r="D16" s="31"/>
      <c r="E16" s="31"/>
      <c r="F16" s="31"/>
      <c r="G16" s="1"/>
    </row>
    <row r="17" spans="1:7" ht="15" customHeight="1" x14ac:dyDescent="0.45">
      <c r="A17" s="1"/>
      <c r="B17" s="43" t="s">
        <v>54</v>
      </c>
      <c r="C17" s="42"/>
      <c r="D17" s="42"/>
      <c r="E17" s="9">
        <f>'Fane 9. Periodevise driftsomk.'!E21</f>
        <v>61842.458890584669</v>
      </c>
      <c r="F17" s="32" t="s">
        <v>3</v>
      </c>
      <c r="G17" s="1"/>
    </row>
    <row r="18" spans="1:7" ht="15" customHeight="1" x14ac:dyDescent="0.45">
      <c r="A18" s="1"/>
      <c r="B18" s="31" t="s">
        <v>53</v>
      </c>
      <c r="C18" s="31"/>
      <c r="D18" s="31"/>
      <c r="E18" s="31"/>
      <c r="F18" s="31"/>
      <c r="G18" s="1"/>
    </row>
    <row r="19" spans="1:7" ht="15" customHeight="1" x14ac:dyDescent="0.45">
      <c r="A19" s="1"/>
      <c r="B19" s="27" t="s">
        <v>49</v>
      </c>
      <c r="C19" s="38"/>
      <c r="D19" s="38"/>
      <c r="E19" s="8">
        <f>'Fane 8.2. Engangstillæg'!C27</f>
        <v>0</v>
      </c>
      <c r="F19" s="38" t="s">
        <v>3</v>
      </c>
      <c r="G19" s="1"/>
    </row>
    <row r="20" spans="1:7" ht="15" customHeight="1" x14ac:dyDescent="0.45">
      <c r="A20" s="1"/>
      <c r="B20" s="27" t="s">
        <v>50</v>
      </c>
      <c r="C20" s="38"/>
      <c r="D20" s="38"/>
      <c r="E20" s="8">
        <f>'Fane 8.2. Engangstillæg'!E27</f>
        <v>0</v>
      </c>
      <c r="F20" s="38" t="s">
        <v>3</v>
      </c>
      <c r="G20" s="1"/>
    </row>
    <row r="21" spans="1:7" ht="15" customHeight="1" x14ac:dyDescent="0.45">
      <c r="A21" s="1"/>
      <c r="B21" s="43" t="s">
        <v>55</v>
      </c>
      <c r="C21" s="42"/>
      <c r="D21" s="42"/>
      <c r="E21" s="9">
        <f>SUM(E19:E20)</f>
        <v>0</v>
      </c>
      <c r="F21" s="32" t="s">
        <v>3</v>
      </c>
      <c r="G21" s="1"/>
    </row>
    <row r="22" spans="1:7" ht="15" customHeight="1" x14ac:dyDescent="0.45">
      <c r="A22" s="1"/>
      <c r="B22" s="31" t="s">
        <v>156</v>
      </c>
      <c r="C22" s="22"/>
      <c r="D22" s="48"/>
      <c r="E22" s="31"/>
      <c r="F22" s="31"/>
      <c r="G22" s="1"/>
    </row>
    <row r="23" spans="1:7" x14ac:dyDescent="0.45">
      <c r="A23" s="1"/>
      <c r="B23" s="43" t="s">
        <v>37</v>
      </c>
      <c r="C23" s="42"/>
      <c r="D23" s="42"/>
      <c r="E23" s="9">
        <f>'Fane 5. Kontrol af ØR2019'!E42</f>
        <v>1288027.4067333096</v>
      </c>
      <c r="F23" s="32" t="s">
        <v>3</v>
      </c>
      <c r="G23" s="1"/>
    </row>
    <row r="24" spans="1:7" x14ac:dyDescent="0.45">
      <c r="A24" s="1"/>
      <c r="B24" s="43" t="s">
        <v>155</v>
      </c>
      <c r="C24" s="42"/>
      <c r="D24" s="42"/>
      <c r="E24" s="9">
        <f>'Fane 5. Kontrol af ØR2019'!E43</f>
        <v>0</v>
      </c>
      <c r="F24" s="32" t="s">
        <v>3</v>
      </c>
      <c r="G24" s="1"/>
    </row>
    <row r="25" spans="1:7" x14ac:dyDescent="0.45">
      <c r="A25" s="1"/>
      <c r="B25" s="31" t="s">
        <v>59</v>
      </c>
      <c r="C25" s="31"/>
      <c r="D25" s="31"/>
      <c r="E25" s="10">
        <f>SUM(E13,E15,E17,E21,E23,E24)</f>
        <v>25769084.919840798</v>
      </c>
      <c r="F25" s="11" t="s">
        <v>3</v>
      </c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44lVmifp5gYvHs1+pZbdddZpNjm0uWFVEj4C5RyhGSAYe/RsdebibphpeacnNBXAfXJ9HvUtOejVcTwh3YRq5Q==" saltValue="fwpEaXTuZKuKUYM3kLucJ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5" t="s">
        <v>114</v>
      </c>
      <c r="C3" s="65"/>
      <c r="D3" s="65"/>
      <c r="E3" s="65"/>
      <c r="F3" s="65"/>
      <c r="G3" s="1"/>
    </row>
    <row r="4" spans="1:7" ht="15" customHeight="1" x14ac:dyDescent="0.45">
      <c r="A4" s="1"/>
      <c r="B4" s="65"/>
      <c r="C4" s="65"/>
      <c r="D4" s="65"/>
      <c r="E4" s="65"/>
      <c r="F4" s="65"/>
      <c r="G4" s="1"/>
    </row>
    <row r="5" spans="1:7" x14ac:dyDescent="0.45">
      <c r="A5" s="1"/>
      <c r="B5" s="66" t="s">
        <v>22</v>
      </c>
      <c r="C5" s="66"/>
      <c r="D5" s="66"/>
      <c r="E5" s="66"/>
      <c r="F5" s="66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1" t="s">
        <v>13</v>
      </c>
      <c r="C7" s="31"/>
      <c r="D7" s="31"/>
      <c r="E7" s="31"/>
      <c r="F7" s="31"/>
      <c r="G7" s="1"/>
    </row>
    <row r="8" spans="1:7" ht="15" customHeight="1" x14ac:dyDescent="0.45">
      <c r="A8" s="1"/>
      <c r="B8" s="38" t="s">
        <v>115</v>
      </c>
      <c r="C8" s="38"/>
      <c r="D8" s="38"/>
      <c r="E8" s="7">
        <f>'Fane 2.3. Økonomisk ramme 2023'!E13</f>
        <v>23733194.656518947</v>
      </c>
      <c r="F8" s="38" t="s">
        <v>3</v>
      </c>
      <c r="G8" s="1"/>
    </row>
    <row r="9" spans="1:7" ht="15" customHeight="1" x14ac:dyDescent="0.45">
      <c r="A9" s="1"/>
      <c r="B9" s="38" t="s">
        <v>103</v>
      </c>
      <c r="C9" s="38"/>
      <c r="D9" s="38"/>
      <c r="E9" s="7">
        <f>-('Fane 11. Bortfald'!C30+'Fane 11. Bortfald'!E30)</f>
        <v>0</v>
      </c>
      <c r="F9" s="38" t="s">
        <v>3</v>
      </c>
      <c r="G9" s="1"/>
    </row>
    <row r="10" spans="1:7" ht="15" customHeight="1" x14ac:dyDescent="0.45">
      <c r="A10" s="1"/>
      <c r="B10" s="39" t="s">
        <v>19</v>
      </c>
      <c r="C10" s="38"/>
      <c r="D10" s="38"/>
      <c r="E10" s="8">
        <f>SUM(E8:E9)*'Fane 12. Nøgletal'!C13</f>
        <v>313278.16946605011</v>
      </c>
      <c r="F10" s="38" t="s">
        <v>3</v>
      </c>
      <c r="G10" s="1"/>
    </row>
    <row r="11" spans="1:7" ht="15" customHeight="1" x14ac:dyDescent="0.45">
      <c r="A11" s="1"/>
      <c r="B11" s="39" t="s">
        <v>87</v>
      </c>
      <c r="C11" s="38"/>
      <c r="D11" s="38"/>
      <c r="E11" s="8">
        <f>-SUM(E8:E10)*'Fane 12. Nøgletal'!C18</f>
        <v>-408790.03804174496</v>
      </c>
      <c r="F11" s="38" t="s">
        <v>3</v>
      </c>
      <c r="G11" s="1"/>
    </row>
    <row r="12" spans="1:7" x14ac:dyDescent="0.45">
      <c r="A12" s="1"/>
      <c r="B12" s="42" t="s">
        <v>21</v>
      </c>
      <c r="C12" s="42"/>
      <c r="D12" s="42"/>
      <c r="E12" s="9">
        <f>SUM(E8:E11)</f>
        <v>23637682.787943251</v>
      </c>
      <c r="F12" s="32" t="s">
        <v>3</v>
      </c>
      <c r="G12" s="1"/>
    </row>
    <row r="13" spans="1:7" x14ac:dyDescent="0.45">
      <c r="A13" s="1"/>
      <c r="B13" s="31" t="s">
        <v>12</v>
      </c>
      <c r="C13" s="31"/>
      <c r="D13" s="31"/>
      <c r="E13" s="31"/>
      <c r="F13" s="31"/>
      <c r="G13" s="1"/>
    </row>
    <row r="14" spans="1:7" ht="15" customHeight="1" x14ac:dyDescent="0.45">
      <c r="A14" s="1"/>
      <c r="B14" s="32" t="s">
        <v>12</v>
      </c>
      <c r="C14" s="32"/>
      <c r="D14" s="32"/>
      <c r="E14" s="9">
        <f>'Fane 4. Ikke-påvirkelige omk.'!C14*(1+'Fane 12. Nøgletal'!C13)^3+'Fane 4. Ikke-påvirkelige omk.'!C21+'Fane 4. Ikke-påvirkelige omk.'!C29</f>
        <v>695075.86694757186</v>
      </c>
      <c r="F14" s="32" t="s">
        <v>3</v>
      </c>
      <c r="G14" s="1"/>
    </row>
    <row r="15" spans="1:7" ht="15" customHeight="1" x14ac:dyDescent="0.45">
      <c r="A15" s="1"/>
      <c r="B15" s="31" t="s">
        <v>54</v>
      </c>
      <c r="C15" s="31"/>
      <c r="D15" s="31"/>
      <c r="E15" s="31"/>
      <c r="F15" s="31"/>
      <c r="G15" s="1"/>
    </row>
    <row r="16" spans="1:7" ht="15" customHeight="1" x14ac:dyDescent="0.45">
      <c r="A16" s="1"/>
      <c r="B16" s="43" t="s">
        <v>54</v>
      </c>
      <c r="C16" s="42"/>
      <c r="D16" s="42"/>
      <c r="E16" s="9">
        <f>'Fane 9. Periodevise driftsomk.'!E26</f>
        <v>62658.779347940399</v>
      </c>
      <c r="F16" s="32" t="s">
        <v>3</v>
      </c>
      <c r="G16" s="1"/>
    </row>
    <row r="17" spans="1:7" ht="15" customHeight="1" x14ac:dyDescent="0.45">
      <c r="A17" s="1"/>
      <c r="B17" s="31" t="s">
        <v>53</v>
      </c>
      <c r="C17" s="31"/>
      <c r="D17" s="31"/>
      <c r="E17" s="31"/>
      <c r="F17" s="31"/>
      <c r="G17" s="1"/>
    </row>
    <row r="18" spans="1:7" ht="15" customHeight="1" x14ac:dyDescent="0.45">
      <c r="A18" s="1"/>
      <c r="B18" s="27" t="s">
        <v>49</v>
      </c>
      <c r="C18" s="38"/>
      <c r="D18" s="38"/>
      <c r="E18" s="8">
        <f>'Fane 8.2. Engangstillæg'!C34</f>
        <v>0</v>
      </c>
      <c r="F18" s="38" t="s">
        <v>3</v>
      </c>
      <c r="G18" s="1"/>
    </row>
    <row r="19" spans="1:7" ht="15" customHeight="1" x14ac:dyDescent="0.45">
      <c r="A19" s="1"/>
      <c r="B19" s="27" t="s">
        <v>50</v>
      </c>
      <c r="C19" s="38"/>
      <c r="D19" s="38"/>
      <c r="E19" s="8">
        <f>'Fane 8.2. Engangstillæg'!E34</f>
        <v>0</v>
      </c>
      <c r="F19" s="38" t="s">
        <v>3</v>
      </c>
      <c r="G19" s="1"/>
    </row>
    <row r="20" spans="1:7" ht="15" customHeight="1" x14ac:dyDescent="0.45">
      <c r="A20" s="1"/>
      <c r="B20" s="43" t="s">
        <v>55</v>
      </c>
      <c r="C20" s="42"/>
      <c r="D20" s="42"/>
      <c r="E20" s="9">
        <f>SUM(E18:E19)</f>
        <v>0</v>
      </c>
      <c r="F20" s="32" t="s">
        <v>3</v>
      </c>
      <c r="G20" s="1"/>
    </row>
    <row r="21" spans="1:7" ht="15" customHeight="1" x14ac:dyDescent="0.45">
      <c r="A21" s="1"/>
      <c r="B21" s="31" t="s">
        <v>116</v>
      </c>
      <c r="C21" s="31"/>
      <c r="D21" s="31"/>
      <c r="E21" s="10">
        <f>SUM(E12,E14,E16,E20)</f>
        <v>24395417.434238765</v>
      </c>
      <c r="F21" s="11" t="s">
        <v>3</v>
      </c>
      <c r="G21" s="1"/>
    </row>
    <row r="22" spans="1:7" ht="15" customHeight="1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h/IQDR+3rU1p1XV7TXnmZ8WhhqM7cq1zPCgbjHFjY9fjXJDBLSn32eIc2fJkXy1wmXilRajoQlwPEm6eFQjeOA==" saltValue="gp4X8GvPJC/tG+rqtCMhV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" defaultRowHeight="14.25" x14ac:dyDescent="0.45"/>
  <cols>
    <col min="1" max="1" width="7.86328125" style="2" customWidth="1"/>
    <col min="2" max="3" width="9" style="2"/>
    <col min="4" max="4" width="39.86328125" style="2" customWidth="1"/>
    <col min="5" max="5" width="10" style="2" customWidth="1"/>
    <col min="6" max="6" width="3.59765625" style="2" bestFit="1" customWidth="1"/>
    <col min="7" max="7" width="7.863281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9" t="s">
        <v>117</v>
      </c>
      <c r="C3" s="79"/>
      <c r="D3" s="79"/>
      <c r="E3" s="79"/>
      <c r="F3" s="79"/>
      <c r="G3" s="1"/>
    </row>
    <row r="4" spans="1:7" ht="29.25" customHeight="1" x14ac:dyDescent="0.45">
      <c r="A4" s="1"/>
      <c r="B4" s="79"/>
      <c r="C4" s="79"/>
      <c r="D4" s="79"/>
      <c r="E4" s="79"/>
      <c r="F4" s="7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1" t="s">
        <v>118</v>
      </c>
      <c r="C8" s="31"/>
      <c r="D8" s="31"/>
      <c r="E8" s="31"/>
      <c r="F8" s="31"/>
      <c r="G8" s="1"/>
    </row>
    <row r="9" spans="1:7" x14ac:dyDescent="0.45">
      <c r="A9" s="1"/>
      <c r="B9" s="80" t="s">
        <v>25</v>
      </c>
      <c r="C9" s="80"/>
      <c r="D9" s="80"/>
      <c r="E9" s="7">
        <v>22127562.686127834</v>
      </c>
      <c r="F9" s="38" t="s">
        <v>3</v>
      </c>
      <c r="G9" s="1"/>
    </row>
    <row r="10" spans="1:7" x14ac:dyDescent="0.45">
      <c r="A10" s="1"/>
      <c r="B10" s="71" t="s">
        <v>177</v>
      </c>
      <c r="C10" s="71"/>
      <c r="D10" s="71"/>
      <c r="E10" s="7">
        <v>0</v>
      </c>
      <c r="F10" s="38" t="s">
        <v>3</v>
      </c>
      <c r="G10" s="1"/>
    </row>
    <row r="11" spans="1:7" x14ac:dyDescent="0.45">
      <c r="A11" s="1"/>
      <c r="B11" s="71" t="s">
        <v>178</v>
      </c>
      <c r="C11" s="71"/>
      <c r="D11" s="71"/>
      <c r="E11" s="7">
        <v>35150.782827105395</v>
      </c>
      <c r="F11" s="38" t="s">
        <v>3</v>
      </c>
      <c r="G11" s="1"/>
    </row>
    <row r="12" spans="1:7" x14ac:dyDescent="0.45">
      <c r="A12" s="1"/>
      <c r="B12" s="71" t="s">
        <v>102</v>
      </c>
      <c r="C12" s="71"/>
      <c r="D12" s="71"/>
      <c r="E12" s="7">
        <v>599333.05971000006</v>
      </c>
      <c r="F12" s="38" t="s">
        <v>3</v>
      </c>
      <c r="G12" s="1"/>
    </row>
    <row r="13" spans="1:7" x14ac:dyDescent="0.45">
      <c r="A13" s="1"/>
      <c r="B13" s="71" t="s">
        <v>103</v>
      </c>
      <c r="C13" s="71"/>
      <c r="D13" s="71"/>
      <c r="E13" s="8">
        <v>0</v>
      </c>
      <c r="F13" s="38" t="s">
        <v>3</v>
      </c>
      <c r="G13" s="1"/>
    </row>
    <row r="14" spans="1:7" x14ac:dyDescent="0.45">
      <c r="A14" s="1"/>
      <c r="B14" s="71" t="s">
        <v>19</v>
      </c>
      <c r="C14" s="71"/>
      <c r="D14" s="71"/>
      <c r="E14" s="8">
        <f>(E9-SUM(E10:E11))*'Fane 12. Nøgletal'!C9+E10*'Fane 12. Nøgletal'!C10+E11*'Fane 12. Nøgletal'!C11+SUM(E12:E13)*'Fane 12. Nøgletal'!C12</f>
        <v>292974.5406779843</v>
      </c>
      <c r="F14" s="38" t="s">
        <v>3</v>
      </c>
      <c r="G14" s="1"/>
    </row>
    <row r="15" spans="1:7" x14ac:dyDescent="0.45">
      <c r="A15" s="1"/>
      <c r="B15" s="71" t="s">
        <v>87</v>
      </c>
      <c r="C15" s="71"/>
      <c r="D15" s="71"/>
      <c r="E15" s="8">
        <f>-SUM(E9:E9,E12:E14)*'Fane 12. Nøgletal'!C18</f>
        <v>-391337.79487076891</v>
      </c>
      <c r="F15" s="38" t="s">
        <v>3</v>
      </c>
      <c r="G15" s="1"/>
    </row>
    <row r="16" spans="1:7" x14ac:dyDescent="0.45">
      <c r="A16" s="1"/>
      <c r="B16" s="72" t="s">
        <v>21</v>
      </c>
      <c r="C16" s="72"/>
      <c r="D16" s="72"/>
      <c r="E16" s="9">
        <f>SUM(E9,E12:E15)</f>
        <v>22628532.491645049</v>
      </c>
      <c r="F16" s="32" t="s">
        <v>3</v>
      </c>
      <c r="G16" s="1"/>
    </row>
    <row r="17" spans="1:7" x14ac:dyDescent="0.45">
      <c r="A17" s="1"/>
      <c r="B17" s="31" t="s">
        <v>12</v>
      </c>
      <c r="C17" s="22"/>
      <c r="D17" s="22"/>
      <c r="E17" s="22"/>
      <c r="F17" s="48"/>
      <c r="G17" s="1"/>
    </row>
    <row r="18" spans="1:7" ht="14.25" customHeight="1" x14ac:dyDescent="0.45">
      <c r="A18" s="1"/>
      <c r="B18" s="68" t="s">
        <v>12</v>
      </c>
      <c r="C18" s="69"/>
      <c r="D18" s="70"/>
      <c r="E18" s="9">
        <v>886149.00182160002</v>
      </c>
      <c r="F18" s="9" t="s">
        <v>3</v>
      </c>
      <c r="G18" s="1"/>
    </row>
    <row r="19" spans="1:7" ht="14.25" customHeight="1" x14ac:dyDescent="0.45">
      <c r="A19" s="1"/>
      <c r="B19" s="31" t="s">
        <v>54</v>
      </c>
      <c r="C19" s="31"/>
      <c r="D19" s="31"/>
      <c r="E19" s="22"/>
      <c r="F19" s="22"/>
      <c r="G19" s="1"/>
    </row>
    <row r="20" spans="1:7" x14ac:dyDescent="0.45">
      <c r="A20" s="1"/>
      <c r="B20" s="43" t="s">
        <v>54</v>
      </c>
      <c r="C20" s="33"/>
      <c r="D20" s="34"/>
      <c r="E20" s="9">
        <v>59650.402756099997</v>
      </c>
      <c r="F20" s="32" t="s">
        <v>3</v>
      </c>
      <c r="G20" s="1"/>
    </row>
    <row r="21" spans="1:7" x14ac:dyDescent="0.45">
      <c r="A21" s="1"/>
      <c r="B21" s="31" t="s">
        <v>53</v>
      </c>
      <c r="C21" s="31"/>
      <c r="D21" s="31"/>
      <c r="E21" s="22"/>
      <c r="F21" s="22"/>
      <c r="G21" s="1"/>
    </row>
    <row r="22" spans="1:7" ht="15.4" customHeight="1" x14ac:dyDescent="0.45">
      <c r="A22" s="1"/>
      <c r="B22" s="73" t="s">
        <v>49</v>
      </c>
      <c r="C22" s="74"/>
      <c r="D22" s="75"/>
      <c r="E22" s="35">
        <v>0</v>
      </c>
      <c r="F22" s="36" t="s">
        <v>3</v>
      </c>
      <c r="G22" s="1"/>
    </row>
    <row r="23" spans="1:7" ht="15.75" customHeight="1" x14ac:dyDescent="0.45">
      <c r="A23" s="1"/>
      <c r="B23" s="73" t="s">
        <v>50</v>
      </c>
      <c r="C23" s="74"/>
      <c r="D23" s="75"/>
      <c r="E23" s="35">
        <v>0</v>
      </c>
      <c r="F23" s="36" t="s">
        <v>3</v>
      </c>
      <c r="G23" s="1"/>
    </row>
    <row r="24" spans="1:7" x14ac:dyDescent="0.45">
      <c r="A24" s="1"/>
      <c r="B24" s="76" t="s">
        <v>55</v>
      </c>
      <c r="C24" s="77"/>
      <c r="D24" s="78"/>
      <c r="E24" s="9">
        <v>0</v>
      </c>
      <c r="F24" s="9" t="s">
        <v>3</v>
      </c>
      <c r="G24" s="1"/>
    </row>
    <row r="25" spans="1:7" x14ac:dyDescent="0.45">
      <c r="A25" s="1"/>
      <c r="B25" s="31" t="s">
        <v>173</v>
      </c>
      <c r="C25" s="31"/>
      <c r="D25" s="31"/>
      <c r="E25" s="22"/>
      <c r="F25" s="22"/>
      <c r="G25" s="1"/>
    </row>
    <row r="26" spans="1:7" ht="14.25" customHeight="1" x14ac:dyDescent="0.45">
      <c r="A26" s="1"/>
      <c r="B26" s="68" t="s">
        <v>174</v>
      </c>
      <c r="C26" s="69"/>
      <c r="D26" s="70"/>
      <c r="E26" s="9">
        <v>338177</v>
      </c>
      <c r="F26" s="32" t="s">
        <v>3</v>
      </c>
      <c r="G26" s="1"/>
    </row>
    <row r="27" spans="1:7" x14ac:dyDescent="0.45">
      <c r="A27" s="1"/>
      <c r="B27" s="31" t="s">
        <v>175</v>
      </c>
      <c r="C27" s="31"/>
      <c r="D27" s="31"/>
      <c r="E27" s="22"/>
      <c r="F27" s="22"/>
      <c r="G27" s="1"/>
    </row>
    <row r="28" spans="1:7" ht="15.75" customHeight="1" x14ac:dyDescent="0.45">
      <c r="A28" s="1"/>
      <c r="B28" s="68" t="s">
        <v>176</v>
      </c>
      <c r="C28" s="69"/>
      <c r="D28" s="70"/>
      <c r="E28" s="9">
        <v>0</v>
      </c>
      <c r="F28" s="32" t="s">
        <v>3</v>
      </c>
      <c r="G28" s="1"/>
    </row>
    <row r="29" spans="1:7" x14ac:dyDescent="0.45">
      <c r="A29" s="1"/>
      <c r="B29" s="31" t="s">
        <v>26</v>
      </c>
      <c r="C29" s="31"/>
      <c r="D29" s="31"/>
      <c r="E29" s="10">
        <f>E16+E18+E20+E24+E26+E28</f>
        <v>23912508.896222748</v>
      </c>
      <c r="F29" s="11" t="s">
        <v>3</v>
      </c>
      <c r="G29" s="1"/>
    </row>
    <row r="30" spans="1:7" ht="28.5" customHeight="1" x14ac:dyDescent="0.45">
      <c r="A30" s="1"/>
      <c r="B30" s="67" t="s">
        <v>119</v>
      </c>
      <c r="C30" s="67"/>
      <c r="D30" s="67"/>
      <c r="E30" s="67"/>
      <c r="F30" s="67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</sheetData>
  <sheetProtection algorithmName="SHA-512" hashValue="LE3ynLitB9V3dg3eq2yrmfUVn4Xa8ZpKPrEUZ9aQ5fAhbNxug0c4pTP7NM6V+rVy9iwNQV2+mETo94cXjkfzSg==" saltValue="elpxez9845gz2USVkkIcIQ==" spinCount="100000" sheet="1" objects="1" scenarios="1"/>
  <mergeCells count="16">
    <mergeCell ref="B3:F4"/>
    <mergeCell ref="B9:D9"/>
    <mergeCell ref="B12:D12"/>
    <mergeCell ref="B13:D13"/>
    <mergeCell ref="B10:D10"/>
    <mergeCell ref="B11:D11"/>
    <mergeCell ref="B30:F30"/>
    <mergeCell ref="B28:D28"/>
    <mergeCell ref="B14:D14"/>
    <mergeCell ref="B15:D15"/>
    <mergeCell ref="B16:D16"/>
    <mergeCell ref="B18:D18"/>
    <mergeCell ref="B26:D26"/>
    <mergeCell ref="B22:D22"/>
    <mergeCell ref="B23:D23"/>
    <mergeCell ref="B24:D2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5" t="s">
        <v>79</v>
      </c>
      <c r="C3" s="65"/>
      <c r="D3" s="65"/>
      <c r="E3" s="1"/>
      <c r="F3" s="1"/>
    </row>
    <row r="4" spans="1:6" ht="15" customHeight="1" x14ac:dyDescent="0.45">
      <c r="A4" s="1"/>
      <c r="B4" s="65"/>
      <c r="C4" s="65"/>
      <c r="D4" s="65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1" t="s">
        <v>120</v>
      </c>
      <c r="C8" s="82"/>
      <c r="D8" s="83"/>
      <c r="E8" s="1"/>
      <c r="F8" s="1"/>
    </row>
    <row r="9" spans="1:6" ht="15" customHeight="1" x14ac:dyDescent="0.45">
      <c r="A9" s="1"/>
      <c r="B9" s="17" t="s">
        <v>33</v>
      </c>
      <c r="C9" s="32" t="s">
        <v>143</v>
      </c>
      <c r="D9" s="32"/>
      <c r="E9" s="1"/>
      <c r="F9" s="1"/>
    </row>
    <row r="10" spans="1:6" x14ac:dyDescent="0.45">
      <c r="A10" s="1"/>
      <c r="B10" s="26" t="s">
        <v>179</v>
      </c>
      <c r="C10" s="8">
        <v>423424</v>
      </c>
      <c r="D10" s="12" t="s">
        <v>3</v>
      </c>
      <c r="E10" s="1"/>
      <c r="F10" s="1"/>
    </row>
    <row r="11" spans="1:6" x14ac:dyDescent="0.45">
      <c r="A11" s="1"/>
      <c r="B11" s="26" t="s">
        <v>180</v>
      </c>
      <c r="C11" s="8">
        <v>38274</v>
      </c>
      <c r="D11" s="12" t="s">
        <v>3</v>
      </c>
      <c r="E11" s="1"/>
      <c r="F11" s="1"/>
    </row>
    <row r="12" spans="1:6" x14ac:dyDescent="0.45">
      <c r="A12" s="1"/>
      <c r="B12" s="26" t="s">
        <v>181</v>
      </c>
      <c r="C12" s="8">
        <v>189265</v>
      </c>
      <c r="D12" s="12" t="s">
        <v>3</v>
      </c>
      <c r="E12" s="1"/>
      <c r="F12" s="1"/>
    </row>
    <row r="13" spans="1:6" x14ac:dyDescent="0.45">
      <c r="A13" s="1"/>
      <c r="B13" s="47" t="s">
        <v>121</v>
      </c>
      <c r="C13" s="10">
        <f>SUM(C10:C12)</f>
        <v>650963</v>
      </c>
      <c r="D13" s="11" t="s">
        <v>3</v>
      </c>
      <c r="E13" s="1"/>
      <c r="F13" s="1"/>
    </row>
    <row r="14" spans="1:6" x14ac:dyDescent="0.45">
      <c r="A14" s="1"/>
      <c r="B14" s="47" t="s">
        <v>122</v>
      </c>
      <c r="C14" s="10">
        <f>C13*(1+'Fane 12. Nøgletal'!C13)^2</f>
        <v>668261.84699312015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81" t="s">
        <v>98</v>
      </c>
      <c r="C17" s="82"/>
      <c r="D17" s="83"/>
      <c r="E17" s="1"/>
      <c r="F17" s="1"/>
    </row>
    <row r="18" spans="1:6" x14ac:dyDescent="0.45">
      <c r="A18" s="1"/>
      <c r="B18" s="26" t="s">
        <v>80</v>
      </c>
      <c r="C18" s="8">
        <v>0</v>
      </c>
      <c r="D18" s="12" t="s">
        <v>3</v>
      </c>
      <c r="E18" s="1"/>
      <c r="F18" s="1"/>
    </row>
    <row r="19" spans="1:6" x14ac:dyDescent="0.45">
      <c r="A19" s="1"/>
      <c r="B19" s="26" t="s">
        <v>81</v>
      </c>
      <c r="C19" s="8">
        <v>0</v>
      </c>
      <c r="D19" s="12" t="s">
        <v>3</v>
      </c>
      <c r="E19" s="1"/>
      <c r="F19" s="1"/>
    </row>
    <row r="20" spans="1:6" x14ac:dyDescent="0.45">
      <c r="A20" s="1"/>
      <c r="B20" s="26" t="s">
        <v>82</v>
      </c>
      <c r="C20" s="8">
        <v>0</v>
      </c>
      <c r="D20" s="12" t="s">
        <v>3</v>
      </c>
      <c r="E20" s="1"/>
      <c r="F20" s="1"/>
    </row>
    <row r="21" spans="1:6" x14ac:dyDescent="0.45">
      <c r="A21" s="1"/>
      <c r="B21" s="26" t="s">
        <v>123</v>
      </c>
      <c r="C21" s="8">
        <v>0</v>
      </c>
      <c r="D21" s="12" t="s">
        <v>3</v>
      </c>
      <c r="E21" s="1"/>
      <c r="F21" s="1"/>
    </row>
    <row r="22" spans="1:6" x14ac:dyDescent="0.45">
      <c r="A22" s="1"/>
      <c r="B22" s="81"/>
      <c r="C22" s="82"/>
      <c r="D22" s="83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81" t="s">
        <v>78</v>
      </c>
      <c r="C25" s="82"/>
      <c r="D25" s="83"/>
      <c r="E25" s="1"/>
      <c r="F25" s="1"/>
    </row>
    <row r="26" spans="1:6" x14ac:dyDescent="0.45">
      <c r="A26" s="1"/>
      <c r="B26" s="26" t="s">
        <v>80</v>
      </c>
      <c r="C26" s="8">
        <v>0</v>
      </c>
      <c r="D26" s="12" t="s">
        <v>3</v>
      </c>
      <c r="E26" s="1"/>
      <c r="F26" s="1"/>
    </row>
    <row r="27" spans="1:6" x14ac:dyDescent="0.45">
      <c r="A27" s="1"/>
      <c r="B27" s="26" t="s">
        <v>81</v>
      </c>
      <c r="C27" s="8">
        <v>0</v>
      </c>
      <c r="D27" s="12" t="s">
        <v>3</v>
      </c>
      <c r="E27" s="1"/>
      <c r="F27" s="1"/>
    </row>
    <row r="28" spans="1:6" x14ac:dyDescent="0.45">
      <c r="A28" s="1"/>
      <c r="B28" s="26" t="s">
        <v>82</v>
      </c>
      <c r="C28" s="8">
        <v>0</v>
      </c>
      <c r="D28" s="12" t="s">
        <v>3</v>
      </c>
      <c r="E28" s="1"/>
      <c r="F28" s="1"/>
    </row>
    <row r="29" spans="1:6" x14ac:dyDescent="0.45">
      <c r="A29" s="1"/>
      <c r="B29" s="26" t="s">
        <v>123</v>
      </c>
      <c r="C29" s="8">
        <v>0</v>
      </c>
      <c r="D29" s="12" t="s">
        <v>3</v>
      </c>
      <c r="E29" s="1"/>
      <c r="F29" s="1"/>
    </row>
    <row r="30" spans="1:6" x14ac:dyDescent="0.45">
      <c r="A30" s="1"/>
      <c r="B30" s="81"/>
      <c r="C30" s="82"/>
      <c r="D30" s="83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e1+5yUJp6ec/qMtfCiaEGkQGqY2W7YGDdVi+HMG6IBYazZQdDw3qcq2CP+4feDl+6MxLeET5VYFVjZZbRGS21w==" saltValue="CS5bLQtwAj4/zPSPm7H57g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79" t="s">
        <v>148</v>
      </c>
      <c r="C3" s="79"/>
      <c r="D3" s="79"/>
      <c r="E3" s="79"/>
      <c r="F3" s="79"/>
      <c r="G3" s="1"/>
    </row>
    <row r="4" spans="1:7" ht="15" customHeight="1" x14ac:dyDescent="0.45">
      <c r="A4" s="1"/>
      <c r="B4" s="79"/>
      <c r="C4" s="79"/>
      <c r="D4" s="79"/>
      <c r="E4" s="79"/>
      <c r="F4" s="79"/>
      <c r="G4" s="1"/>
    </row>
    <row r="5" spans="1:7" ht="15" customHeight="1" x14ac:dyDescent="0.45">
      <c r="A5" s="1"/>
      <c r="B5" s="37"/>
      <c r="C5" s="37"/>
      <c r="D5" s="37"/>
      <c r="E5" s="37"/>
      <c r="F5" s="37"/>
      <c r="G5" s="1"/>
    </row>
    <row r="6" spans="1:7" ht="15" customHeight="1" x14ac:dyDescent="0.45">
      <c r="A6" s="1"/>
      <c r="B6" s="85" t="s">
        <v>37</v>
      </c>
      <c r="C6" s="85"/>
      <c r="D6" s="85"/>
      <c r="E6" s="85"/>
      <c r="F6" s="85"/>
      <c r="G6" s="1"/>
    </row>
    <row r="7" spans="1:7" ht="15" customHeight="1" x14ac:dyDescent="0.45">
      <c r="A7" s="1"/>
      <c r="B7" s="87" t="s">
        <v>35</v>
      </c>
      <c r="C7" s="87"/>
      <c r="D7" s="87"/>
      <c r="E7" s="8">
        <v>877008.50916666666</v>
      </c>
      <c r="F7" s="12" t="s">
        <v>3</v>
      </c>
      <c r="G7" s="1"/>
    </row>
    <row r="8" spans="1:7" ht="15" customHeight="1" x14ac:dyDescent="0.45">
      <c r="A8" s="1"/>
      <c r="B8" s="87" t="s">
        <v>36</v>
      </c>
      <c r="C8" s="87"/>
      <c r="D8" s="87"/>
      <c r="E8" s="8">
        <v>2987073.7110332623</v>
      </c>
      <c r="F8" s="12" t="s">
        <v>3</v>
      </c>
      <c r="G8" s="1"/>
    </row>
    <row r="9" spans="1:7" ht="15" customHeight="1" x14ac:dyDescent="0.45">
      <c r="A9" s="1"/>
      <c r="B9" s="76" t="s">
        <v>97</v>
      </c>
      <c r="C9" s="77"/>
      <c r="D9" s="78"/>
      <c r="E9" s="9">
        <f>SUM(E7:E8)</f>
        <v>3864082.2201999291</v>
      </c>
      <c r="F9" s="15" t="s">
        <v>3</v>
      </c>
      <c r="G9" s="1"/>
    </row>
    <row r="10" spans="1:7" ht="15" customHeight="1" x14ac:dyDescent="0.45">
      <c r="A10" s="1"/>
      <c r="B10" s="81"/>
      <c r="C10" s="82"/>
      <c r="D10" s="82"/>
      <c r="E10" s="82"/>
      <c r="F10" s="83"/>
      <c r="G10" s="1"/>
    </row>
    <row r="11" spans="1:7" ht="27" customHeight="1" x14ac:dyDescent="0.45">
      <c r="A11" s="1"/>
      <c r="B11" s="67" t="s">
        <v>86</v>
      </c>
      <c r="C11" s="67"/>
      <c r="D11" s="67"/>
      <c r="E11" s="67"/>
      <c r="F11" s="67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5" t="s">
        <v>71</v>
      </c>
      <c r="C14" s="85"/>
      <c r="D14" s="85"/>
      <c r="E14" s="85"/>
      <c r="F14" s="85"/>
      <c r="G14" s="1"/>
    </row>
    <row r="15" spans="1:7" x14ac:dyDescent="0.45">
      <c r="A15" s="1"/>
      <c r="B15" s="87" t="s">
        <v>72</v>
      </c>
      <c r="C15" s="87"/>
      <c r="D15" s="87"/>
      <c r="E15" s="8">
        <v>23250186.525058232</v>
      </c>
      <c r="F15" s="12" t="s">
        <v>3</v>
      </c>
      <c r="G15" s="1"/>
    </row>
    <row r="16" spans="1:7" x14ac:dyDescent="0.45">
      <c r="A16" s="1"/>
      <c r="B16" s="87" t="s">
        <v>73</v>
      </c>
      <c r="C16" s="87"/>
      <c r="D16" s="87"/>
      <c r="E16" s="8">
        <v>19035501</v>
      </c>
      <c r="F16" s="12" t="s">
        <v>3</v>
      </c>
      <c r="G16" s="1"/>
    </row>
    <row r="17" spans="1:7" x14ac:dyDescent="0.45">
      <c r="A17" s="1"/>
      <c r="B17" s="87" t="s">
        <v>34</v>
      </c>
      <c r="C17" s="87"/>
      <c r="D17" s="87"/>
      <c r="E17" s="8">
        <v>0</v>
      </c>
      <c r="F17" s="12" t="s">
        <v>3</v>
      </c>
      <c r="G17" s="1"/>
    </row>
    <row r="18" spans="1:7" x14ac:dyDescent="0.45">
      <c r="A18" s="1"/>
      <c r="B18" s="84" t="s">
        <v>170</v>
      </c>
      <c r="C18" s="84"/>
      <c r="D18" s="84"/>
      <c r="E18" s="9">
        <f>E15-(E16-E17)</f>
        <v>4214685.5250582322</v>
      </c>
      <c r="F18" s="15" t="s">
        <v>3</v>
      </c>
      <c r="G18" s="1"/>
    </row>
    <row r="19" spans="1:7" x14ac:dyDescent="0.45">
      <c r="A19" s="1"/>
      <c r="B19" s="88"/>
      <c r="C19" s="89"/>
      <c r="D19" s="89"/>
      <c r="E19" s="89"/>
      <c r="F19" s="90"/>
      <c r="G19" s="1"/>
    </row>
    <row r="20" spans="1:7" ht="28.5" customHeight="1" x14ac:dyDescent="0.45">
      <c r="A20" s="1"/>
      <c r="B20" s="67" t="s">
        <v>85</v>
      </c>
      <c r="C20" s="67"/>
      <c r="D20" s="67"/>
      <c r="E20" s="67"/>
      <c r="F20" s="67"/>
      <c r="G20" s="1"/>
    </row>
    <row r="21" spans="1:7" ht="28.5" customHeight="1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5" t="s">
        <v>45</v>
      </c>
      <c r="C22" s="85"/>
      <c r="D22" s="85"/>
      <c r="E22" s="85"/>
      <c r="F22" s="85"/>
      <c r="G22" s="1"/>
    </row>
    <row r="23" spans="1:7" x14ac:dyDescent="0.45">
      <c r="A23" s="1"/>
      <c r="B23" s="87" t="s">
        <v>46</v>
      </c>
      <c r="C23" s="87"/>
      <c r="D23" s="87"/>
      <c r="E23" s="8">
        <v>23147707.204575818</v>
      </c>
      <c r="F23" s="12" t="s">
        <v>3</v>
      </c>
      <c r="G23" s="1"/>
    </row>
    <row r="24" spans="1:7" x14ac:dyDescent="0.45">
      <c r="A24" s="1"/>
      <c r="B24" s="87" t="s">
        <v>47</v>
      </c>
      <c r="C24" s="87"/>
      <c r="D24" s="87"/>
      <c r="E24" s="8">
        <v>18925745</v>
      </c>
      <c r="F24" s="12" t="s">
        <v>3</v>
      </c>
      <c r="G24" s="1"/>
    </row>
    <row r="25" spans="1:7" x14ac:dyDescent="0.45">
      <c r="A25" s="1"/>
      <c r="B25" s="87" t="s">
        <v>34</v>
      </c>
      <c r="C25" s="87"/>
      <c r="D25" s="87"/>
      <c r="E25" s="8">
        <v>0</v>
      </c>
      <c r="F25" s="12" t="s">
        <v>3</v>
      </c>
      <c r="G25" s="1"/>
    </row>
    <row r="26" spans="1:7" x14ac:dyDescent="0.45">
      <c r="A26" s="1"/>
      <c r="B26" s="84" t="s">
        <v>169</v>
      </c>
      <c r="C26" s="84"/>
      <c r="D26" s="84"/>
      <c r="E26" s="9">
        <f>E23-(E24-E25)</f>
        <v>4221962.204575818</v>
      </c>
      <c r="F26" s="15" t="s">
        <v>3</v>
      </c>
      <c r="G26" s="1"/>
    </row>
    <row r="27" spans="1:7" x14ac:dyDescent="0.45">
      <c r="A27" s="1"/>
      <c r="B27" s="81"/>
      <c r="C27" s="82"/>
      <c r="D27" s="82"/>
      <c r="E27" s="82"/>
      <c r="F27" s="83"/>
      <c r="G27" s="1"/>
    </row>
    <row r="28" spans="1:7" ht="28.7" customHeight="1" x14ac:dyDescent="0.45">
      <c r="A28" s="1"/>
      <c r="B28" s="67" t="s">
        <v>157</v>
      </c>
      <c r="C28" s="67"/>
      <c r="D28" s="67"/>
      <c r="E28" s="67"/>
      <c r="F28" s="67"/>
      <c r="G28" s="1"/>
    </row>
    <row r="29" spans="1:7" ht="28.5" customHeight="1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85" t="s">
        <v>158</v>
      </c>
      <c r="C30" s="85"/>
      <c r="D30" s="85"/>
      <c r="E30" s="85"/>
      <c r="F30" s="85"/>
      <c r="G30" s="1"/>
    </row>
    <row r="31" spans="1:7" x14ac:dyDescent="0.45">
      <c r="A31" s="1"/>
      <c r="B31" s="87" t="s">
        <v>159</v>
      </c>
      <c r="C31" s="87"/>
      <c r="D31" s="87"/>
      <c r="E31" s="8">
        <v>22993097.292829286</v>
      </c>
      <c r="F31" s="12" t="s">
        <v>3</v>
      </c>
      <c r="G31" s="1"/>
    </row>
    <row r="32" spans="1:7" x14ac:dyDescent="0.45">
      <c r="A32" s="1"/>
      <c r="B32" s="87" t="s">
        <v>160</v>
      </c>
      <c r="C32" s="87"/>
      <c r="D32" s="87"/>
      <c r="E32" s="8">
        <v>21885489</v>
      </c>
      <c r="F32" s="12" t="s">
        <v>3</v>
      </c>
      <c r="G32" s="1"/>
    </row>
    <row r="33" spans="1:7" x14ac:dyDescent="0.45">
      <c r="A33" s="1"/>
      <c r="B33" s="87" t="s">
        <v>34</v>
      </c>
      <c r="C33" s="87"/>
      <c r="D33" s="87"/>
      <c r="E33" s="8">
        <v>0</v>
      </c>
      <c r="F33" s="12" t="s">
        <v>3</v>
      </c>
      <c r="G33" s="1"/>
    </row>
    <row r="34" spans="1:7" x14ac:dyDescent="0.45">
      <c r="A34" s="1"/>
      <c r="B34" s="84" t="s">
        <v>168</v>
      </c>
      <c r="C34" s="84"/>
      <c r="D34" s="84"/>
      <c r="E34" s="9">
        <f>E31-(E32-E33)</f>
        <v>1107608.2928292863</v>
      </c>
      <c r="F34" s="15" t="s">
        <v>3</v>
      </c>
      <c r="G34" s="1"/>
    </row>
    <row r="35" spans="1:7" x14ac:dyDescent="0.45">
      <c r="A35" s="1"/>
      <c r="B35" s="81"/>
      <c r="C35" s="82"/>
      <c r="D35" s="82"/>
      <c r="E35" s="82"/>
      <c r="F35" s="83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85" t="s">
        <v>161</v>
      </c>
      <c r="C38" s="85"/>
      <c r="D38" s="85"/>
      <c r="E38" s="85"/>
      <c r="F38" s="85"/>
      <c r="G38" s="1"/>
    </row>
    <row r="39" spans="1:7" x14ac:dyDescent="0.45">
      <c r="A39" s="1"/>
      <c r="B39" s="86" t="s">
        <v>37</v>
      </c>
      <c r="C39" s="86"/>
      <c r="D39" s="86"/>
      <c r="E39" s="8">
        <f>E9</f>
        <v>3864082.2201999291</v>
      </c>
      <c r="F39" s="12" t="s">
        <v>3</v>
      </c>
      <c r="G39" s="1"/>
    </row>
    <row r="40" spans="1:7" x14ac:dyDescent="0.45">
      <c r="A40" s="1"/>
      <c r="B40" s="86" t="s">
        <v>167</v>
      </c>
      <c r="C40" s="86"/>
      <c r="D40" s="86"/>
      <c r="E40" s="8">
        <f>IF(E18+E26+E34&lt;0,E18+E26+E34,0)</f>
        <v>0</v>
      </c>
      <c r="F40" s="12" t="s">
        <v>3</v>
      </c>
      <c r="G40" s="1"/>
    </row>
    <row r="41" spans="1:7" x14ac:dyDescent="0.45">
      <c r="A41" s="1"/>
      <c r="B41" s="86" t="s">
        <v>90</v>
      </c>
      <c r="C41" s="86"/>
      <c r="D41" s="86"/>
      <c r="E41" s="8">
        <v>3</v>
      </c>
      <c r="F41" s="12" t="s">
        <v>20</v>
      </c>
      <c r="G41" s="1"/>
    </row>
    <row r="42" spans="1:7" x14ac:dyDescent="0.45">
      <c r="A42" s="1"/>
      <c r="B42" s="84" t="s">
        <v>165</v>
      </c>
      <c r="C42" s="84"/>
      <c r="D42" s="84"/>
      <c r="E42" s="9">
        <f>SUM(E39)/E41</f>
        <v>1288027.4067333096</v>
      </c>
      <c r="F42" s="15" t="s">
        <v>3</v>
      </c>
      <c r="G42" s="1"/>
    </row>
    <row r="43" spans="1:7" x14ac:dyDescent="0.45">
      <c r="A43" s="1"/>
      <c r="B43" s="84" t="s">
        <v>166</v>
      </c>
      <c r="C43" s="84"/>
      <c r="D43" s="84"/>
      <c r="E43" s="9">
        <f>E40/E41</f>
        <v>0</v>
      </c>
      <c r="F43" s="15" t="s">
        <v>3</v>
      </c>
      <c r="G43" s="1"/>
    </row>
    <row r="44" spans="1:7" x14ac:dyDescent="0.45">
      <c r="A44" s="1"/>
      <c r="B44" s="85"/>
      <c r="C44" s="85"/>
      <c r="D44" s="85"/>
      <c r="E44" s="85"/>
      <c r="F44" s="85"/>
      <c r="G44" s="1"/>
    </row>
    <row r="47" spans="1:7" x14ac:dyDescent="0.45">
      <c r="A47" s="30"/>
      <c r="B47" s="30"/>
      <c r="C47" s="30"/>
      <c r="D47" s="30"/>
      <c r="E47" s="30"/>
      <c r="F47" s="30"/>
      <c r="G47" s="30"/>
    </row>
  </sheetData>
  <sheetProtection algorithmName="SHA-512" hashValue="eTQmgKUMMwpmAiY4rBL06QDicuIl3LGTiRKEIfGvNjf6lni+YJPZa+JTeHIeZp7cbduRuWVAZHr3VCMlqf4dHw==" saltValue="AU2vsUAl6cM4iLYZP1royQ==" spinCount="100000" sheet="1" objects="1" scenarios="1"/>
  <mergeCells count="34">
    <mergeCell ref="B35:F35"/>
    <mergeCell ref="B33:D33"/>
    <mergeCell ref="B34:D34"/>
    <mergeCell ref="B9:D9"/>
    <mergeCell ref="B28:F28"/>
    <mergeCell ref="B10:F10"/>
    <mergeCell ref="B19:F19"/>
    <mergeCell ref="B32:D32"/>
    <mergeCell ref="B27:F27"/>
    <mergeCell ref="B30:F30"/>
    <mergeCell ref="B31:D31"/>
    <mergeCell ref="B3:F4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22:F22"/>
    <mergeCell ref="B23:D23"/>
    <mergeCell ref="B8:D8"/>
    <mergeCell ref="B43:D43"/>
    <mergeCell ref="B44:F44"/>
    <mergeCell ref="B38:F38"/>
    <mergeCell ref="B39:D39"/>
    <mergeCell ref="B40:D40"/>
    <mergeCell ref="B41:D41"/>
    <mergeCell ref="B42:D4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79" t="s">
        <v>129</v>
      </c>
      <c r="C3" s="79"/>
      <c r="D3" s="79"/>
      <c r="E3" s="79"/>
      <c r="F3" s="79"/>
      <c r="G3" s="1"/>
    </row>
    <row r="4" spans="1:7" ht="15" customHeight="1" x14ac:dyDescent="0.45">
      <c r="A4" s="1"/>
      <c r="B4" s="79"/>
      <c r="C4" s="79"/>
      <c r="D4" s="79"/>
      <c r="E4" s="79"/>
      <c r="F4" s="7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85" t="s">
        <v>124</v>
      </c>
      <c r="C9" s="85"/>
      <c r="D9" s="85"/>
      <c r="E9" s="85"/>
      <c r="F9" s="85"/>
      <c r="G9" s="1"/>
    </row>
    <row r="10" spans="1:7" x14ac:dyDescent="0.45">
      <c r="A10" s="1"/>
      <c r="B10" s="67" t="s">
        <v>83</v>
      </c>
      <c r="C10" s="67"/>
      <c r="D10" s="67"/>
      <c r="E10" s="7">
        <v>0</v>
      </c>
      <c r="F10" s="38" t="s">
        <v>3</v>
      </c>
      <c r="G10" s="1"/>
    </row>
    <row r="11" spans="1:7" x14ac:dyDescent="0.45">
      <c r="A11" s="1"/>
      <c r="B11" s="87" t="s">
        <v>125</v>
      </c>
      <c r="C11" s="87"/>
      <c r="D11" s="87"/>
      <c r="E11" s="7">
        <v>0</v>
      </c>
      <c r="F11" s="38" t="s">
        <v>3</v>
      </c>
      <c r="G11" s="1"/>
    </row>
    <row r="12" spans="1:7" x14ac:dyDescent="0.45">
      <c r="A12" s="1"/>
      <c r="B12" s="84" t="s">
        <v>84</v>
      </c>
      <c r="C12" s="84"/>
      <c r="D12" s="84"/>
      <c r="E12" s="9">
        <f>E11-E10</f>
        <v>0</v>
      </c>
      <c r="F12" s="32" t="s">
        <v>3</v>
      </c>
      <c r="G12" s="1"/>
    </row>
    <row r="13" spans="1:7" x14ac:dyDescent="0.45">
      <c r="A13" s="1"/>
      <c r="B13" s="85" t="s">
        <v>70</v>
      </c>
      <c r="C13" s="85"/>
      <c r="D13" s="85"/>
      <c r="E13" s="85"/>
      <c r="F13" s="85"/>
      <c r="G13" s="1"/>
    </row>
    <row r="14" spans="1:7" x14ac:dyDescent="0.45">
      <c r="A14" s="1"/>
      <c r="B14" s="87" t="s">
        <v>126</v>
      </c>
      <c r="C14" s="87"/>
      <c r="D14" s="87"/>
      <c r="E14" s="8">
        <v>0</v>
      </c>
      <c r="F14" s="38" t="s">
        <v>3</v>
      </c>
      <c r="G14" s="1"/>
    </row>
    <row r="15" spans="1:7" x14ac:dyDescent="0.45">
      <c r="A15" s="1"/>
      <c r="B15" s="87" t="s">
        <v>127</v>
      </c>
      <c r="C15" s="87"/>
      <c r="D15" s="87"/>
      <c r="E15" s="8">
        <v>0</v>
      </c>
      <c r="F15" s="38" t="s">
        <v>3</v>
      </c>
      <c r="G15" s="1"/>
    </row>
    <row r="16" spans="1:7" x14ac:dyDescent="0.45">
      <c r="A16" s="1"/>
      <c r="B16" s="84" t="s">
        <v>84</v>
      </c>
      <c r="C16" s="84"/>
      <c r="D16" s="84"/>
      <c r="E16" s="9">
        <f>E15-E14</f>
        <v>0</v>
      </c>
      <c r="F16" s="32" t="s">
        <v>3</v>
      </c>
      <c r="G16" s="1"/>
    </row>
    <row r="17" spans="1:7" x14ac:dyDescent="0.45">
      <c r="A17" s="1"/>
      <c r="B17" s="31" t="s">
        <v>128</v>
      </c>
      <c r="C17" s="31"/>
      <c r="D17" s="31"/>
      <c r="E17" s="10">
        <f>E12+E16</f>
        <v>0</v>
      </c>
      <c r="F17" s="11" t="s">
        <v>3</v>
      </c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ueBcyS6EmoB48XaWKMHMBCmGAP56oywHu9ZAnfGSpT6SxHmdLQ76+ifvklr0VylWS3JWUDsZAiloFbcutcvN4Q==" saltValue="HOgtvJZQr6ChT3xbOmfD0A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Korrektion af ØR2019</vt:lpstr>
      <vt:lpstr>Fane 7. Anlægsprojekter</vt:lpstr>
      <vt:lpstr>Fane 8.1. Varige tillæg</vt:lpstr>
      <vt:lpstr>Fane 8.2. Engangstillæg</vt:lpstr>
      <vt:lpstr>Fane 9. Periodevise driftsomk.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2020-10-13T07:38:09Z</dcterms:modified>
</cp:coreProperties>
</file>