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Haderslev Vand AS (V071)\ØR2023\"/>
    </mc:Choice>
  </mc:AlternateContent>
  <xr:revisionPtr revIDLastSave="0" documentId="13_ncr:1_{58ACF901-6901-4944-9CCE-38B605D015FF}" xr6:coauthVersionLast="36" xr6:coauthVersionMax="36" xr10:uidLastSave="{00000000-0000-0000-0000-000000000000}"/>
  <bookViews>
    <workbookView xWindow="3105" yWindow="1005" windowWidth="12750" windowHeight="4620" tabRatio="872"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91029" calcMode="manual"/>
</workbook>
</file>

<file path=xl/calcChain.xml><?xml version="1.0" encoding="utf-8"?>
<calcChain xmlns="http://schemas.openxmlformats.org/spreadsheetml/2006/main">
  <c r="C14" i="19" l="1"/>
  <c r="E14" i="37"/>
  <c r="C14" i="37"/>
  <c r="E17" i="32" l="1"/>
  <c r="E16" i="32"/>
  <c r="E32" i="27" l="1"/>
  <c r="C19" i="23"/>
  <c r="C19" i="22"/>
  <c r="C19" i="15"/>
  <c r="C31" i="2"/>
  <c r="G18" i="40" l="1"/>
  <c r="E25" i="32" l="1"/>
  <c r="E29" i="32" s="1"/>
  <c r="E31" i="32" s="1"/>
  <c r="C17" i="15" l="1"/>
  <c r="C29" i="2"/>
  <c r="F10" i="11"/>
  <c r="E12" i="39" l="1"/>
  <c r="C12" i="39"/>
  <c r="E11" i="29"/>
  <c r="E12" i="29" s="1"/>
  <c r="C14" i="2" s="1"/>
  <c r="C11" i="29"/>
  <c r="J11" i="11"/>
  <c r="H11" i="11"/>
  <c r="C15" i="19" l="1"/>
  <c r="F11" i="11" l="1"/>
  <c r="E10" i="37" s="1"/>
  <c r="C10" i="37"/>
  <c r="C15" i="37" s="1"/>
  <c r="C15" i="23" l="1"/>
  <c r="C15" i="22" l="1"/>
  <c r="C15" i="15"/>
  <c r="C12" i="29"/>
  <c r="G36" i="36" l="1"/>
  <c r="G36" i="30"/>
  <c r="G6" i="30" l="1"/>
  <c r="E13" i="39" l="1"/>
  <c r="C13" i="39"/>
  <c r="C23" i="2" s="1"/>
  <c r="C25" i="2" s="1"/>
  <c r="G10" i="30" l="1"/>
  <c r="G12" i="30" s="1"/>
  <c r="E15" i="37" l="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<sst xmlns="http://schemas.openxmlformats.org/spreadsheetml/2006/main" count="515" uniqueCount="256">
  <si>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</si>
  <si>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</si>
  <si>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</si>
  <si>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</si>
  <si>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</si>
  <si>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</si>
  <si>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</si>
  <si>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</si>
  <si>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</si>
  <si>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</si>
  <si>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</si>
  <si>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</si>
  <si>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</si>
  <si>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</si>
  <si>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</si>
  <si>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</si>
  <si>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</si>
  <si>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</si>
  <si>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</si>
  <si>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</si>
  <si>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</si>
  <si>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</si>
  <si>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</si>
  <si>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</si>
  <si>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</si>
  <si>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</si>
  <si>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</si>
  <si>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</si>
  <si>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</si>
  <si>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</si>
  <si>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</si>
  <si>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</si>
  <si>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</si>
  <si>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</si>
  <si>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</si>
  <si>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</si>
  <si>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</si>
  <si>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</si>
  <si>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</si>
  <si>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</si>
  <si>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</si>
  <si>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</si>
  <si>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</si>
  <si>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</si>
  <si>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</si>
  <si>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</si>
  <si>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</si>
  <si>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</si>
  <si>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</si>
  <si>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</si>
  <si>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</si>
  <si>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</si>
  <si>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</si>
  <si>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</si>
  <si>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</si>
  <si>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</si>
  <si>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</si>
  <si>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</si>
  <si>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</si>
  <si>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</si>
  <si>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</si>
  <si>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</si>
  <si>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</si>
  <si>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</si>
  <si>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</si>
  <si>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</si>
  <si>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</si>
  <si>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</si>
  <si>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</si>
  <si>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</si>
  <si>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</si>
  <si>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</si>
  <si>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</si>
  <si>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</si>
  <si>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</si>
  <si>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</si>
  <si>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</si>
  <si>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</si>
  <si>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</si>
  <si>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</si>
  <si>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</si>
  <si>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</si>
  <si>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</si>
  <si>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</si>
  <si>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</si>
  <si>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</si>
  <si>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</si>
  <si>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</si>
  <si>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</si>
  <si>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</si>
  <si>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</si>
  <si>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</si>
  <si>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</si>
  <si>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</si>
  <si>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</si>
  <si>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</si>
  <si>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</si>
  <si>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</si>
  <si>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</si>
  <si>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</si>
  <si>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</si>
  <si>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</si>
  <si>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</si>
  <si>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</si>
  <si>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</si>
  <si>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</si>
  <si>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</si>
  <si>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</si>
  <si>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</si>
  <si>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</si>
  <si>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</si>
  <si>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</si>
  <si>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</si>
  <si>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</si>
  <si>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</si>
  <si>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</si>
  <si>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</si>
  <si>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</si>
  <si>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</si>
  <si>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</si>
  <si>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</si>
  <si>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</si>
  <si>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</si>
  <si>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</si>
  <si>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</si>
  <si>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</si>
  <si>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</si>
  <si>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</si>
  <si>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</si>
  <si>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</si>
  <si>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</si>
  <si>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</si>
  <si>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</si>
  <si>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</si>
  <si>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</si>
  <si>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</si>
  <si>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</si>
  <si>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</si>
  <si>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</si>
  <si>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</si>
  <si>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</si>
  <si>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</si>
  <si>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</si>
  <si>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</si>
  <si>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</si>
  <si>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</si>
  <si>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</si>
  <si>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</si>
  <si>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</si>
  <si>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</si>
  <si>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</si>
  <si>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</si>
  <si>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</si>
  <si>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</si>
  <si>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</si>
  <si>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</si>
  <si>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</si>
  <si>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</si>
  <si>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</si>
  <si>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</si>
  <si>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</si>
  <si>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</si>
  <si>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</si>
  <si>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</si>
  <si>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</si>
  <si>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</si>
  <si>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</si>
  <si>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</si>
  <si>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</si>
  <si>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</si>
  <si>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</si>
  <si>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</si>
  <si>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</si>
  <si>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</si>
  <si>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</si>
  <si>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</si>
  <si>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</si>
  <si>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</si>
  <si>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</si>
  <si>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</si>
  <si>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</si>
  <si>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</si>
  <si>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</si>
  <si>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</si>
  <si>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</si>
  <si>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</si>
  <si>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</si>
  <si>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</si>
  <si>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</si>
  <si>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</si>
  <si>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</si>
  <si>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</si>
  <si>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</si>
  <si>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</si>
  <si>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</si>
  <si>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</si>
  <si>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</si>
  <si>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</si>
  <si>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</si>
  <si>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</si>
  <si>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</si>
  <si>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</si>
  <si>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</si>
  <si>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</si>
  <si>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</si>
  <si>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</si>
  <si>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</si>
  <si>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</si>
  <si>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</si>
  <si>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</si>
  <si>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</si>
  <si>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</si>
  <si>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</si>
  <si>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</si>
  <si>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</si>
  <si>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</si>
  <si>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</si>
  <si>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</si>
  <si>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</si>
  <si>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</si>
  <si>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</si>
  <si>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</si>
  <si>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</si>
  <si>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</si>
  <si>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</si>
  <si>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</si>
  <si>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</si>
  <si>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</si>
  <si>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</si>
  <si>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</si>
  <si>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</si>
  <si>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</si>
  <si>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</si>
  <si>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</si>
  <si>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</si>
  <si>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</si>
  <si>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</si>
  <si>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</si>
  <si>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</si>
  <si>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</si>
  <si>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</si>
  <si>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Diverse tillæg til mål</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</si>
  <si>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</si>
  <si>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</si>
  <si>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</si>
  <si>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</si>
  <si>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</si>
  <si>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</si>
  <si>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</si>
  <si>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</si>
  <si>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</si>
  <si>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</si>
  <si>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</si>
  <si>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</si>
  <si>
    <t>Fusion med Styding Vandværk</t>
  </si>
  <si>
    <t>Afgift af ledningsført vand (fusion med Sty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</si>
</sst>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
      <sz val="11"/>
      <color rgb="FFFF0000"/>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16" fillId="2" borderId="0" xfId="0" applyFont="1" applyFill="1" applyProtection="1"/>
    <xf numFmtId="0" fontId="0" fillId="0" borderId="0" xfId="0" applyFill="1" applyAlignment="1" applyProtection="1">
      <alignment horizontal="right"/>
    </xf>
    <xf numFmtId="0" fontId="8" fillId="8" borderId="2" xfId="0" applyFont="1" applyFill="1" applyBorder="1" applyAlignment="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6.5703125" style="2" customWidth="1"/>
    <col min="2" max="2" width="8.42578125" style="2" customWidth="1"/>
    <col min="3" max="4" width="9.140625" style="2"/>
    <col min="5" max="5" width="11.85546875" style="2" customWidth="1"/>
    <col min="6" max="6" width="11.7109375" style="2" customWidth="1"/>
    <col min="7" max="7" width="9.140625" style="2"/>
    <col min="8" max="8" width="8.5703125" style="2" customWidth="1"/>
    <col min="9" max="9" width="12.28515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8" t="s">
        <v>194</v>
      </c>
      <c r="E8" s="98"/>
      <c r="F8" s="98"/>
      <c r="G8" s="9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7" t="s">
        <v>5</v>
      </c>
      <c r="E11" s="97"/>
      <c r="F11" s="97"/>
      <c r="G11" s="97"/>
      <c r="H11" s="5"/>
      <c r="I11" s="1"/>
    </row>
    <row r="12" spans="1:9" x14ac:dyDescent="0.25">
      <c r="A12" s="1"/>
      <c r="B12" s="1"/>
      <c r="C12" s="1"/>
      <c r="D12" s="1"/>
      <c r="E12" s="1"/>
      <c r="F12" s="1"/>
      <c r="G12" s="1"/>
      <c r="H12" s="1"/>
      <c r="I12" s="1"/>
    </row>
    <row r="13" spans="1:9" x14ac:dyDescent="0.25">
      <c r="A13" s="1"/>
      <c r="B13" s="1"/>
      <c r="C13" s="6" t="s">
        <v>6</v>
      </c>
      <c r="D13" s="90" t="s">
        <v>161</v>
      </c>
      <c r="E13" s="91"/>
      <c r="F13" s="91"/>
      <c r="G13" s="92"/>
      <c r="H13" s="1"/>
      <c r="I13" s="1"/>
    </row>
    <row r="14" spans="1:9" x14ac:dyDescent="0.25">
      <c r="A14" s="1"/>
      <c r="B14" s="1"/>
      <c r="C14" s="6" t="s">
        <v>14</v>
      </c>
      <c r="D14" s="90" t="s">
        <v>204</v>
      </c>
      <c r="E14" s="91"/>
      <c r="F14" s="91"/>
      <c r="G14" s="92"/>
      <c r="H14" s="1"/>
      <c r="I14" s="1"/>
    </row>
    <row r="15" spans="1:9" x14ac:dyDescent="0.25">
      <c r="A15" s="1"/>
      <c r="B15" s="1"/>
      <c r="C15" s="6" t="s">
        <v>32</v>
      </c>
      <c r="D15" s="90" t="s">
        <v>137</v>
      </c>
      <c r="E15" s="91"/>
      <c r="F15" s="91"/>
      <c r="G15" s="92"/>
      <c r="H15" s="1"/>
      <c r="I15" s="1"/>
    </row>
    <row r="16" spans="1:9" x14ac:dyDescent="0.25">
      <c r="A16" s="1"/>
      <c r="B16" s="1"/>
      <c r="C16" s="6" t="s">
        <v>33</v>
      </c>
      <c r="D16" s="90" t="s">
        <v>162</v>
      </c>
      <c r="E16" s="91"/>
      <c r="F16" s="91"/>
      <c r="G16" s="92"/>
      <c r="H16" s="1"/>
      <c r="I16" s="1"/>
    </row>
    <row r="17" spans="1:9" x14ac:dyDescent="0.25">
      <c r="A17" s="1"/>
      <c r="B17" s="1"/>
      <c r="C17" s="6" t="s">
        <v>110</v>
      </c>
      <c r="D17" s="90" t="s">
        <v>163</v>
      </c>
      <c r="E17" s="91"/>
      <c r="F17" s="91"/>
      <c r="G17" s="92"/>
      <c r="H17" s="1"/>
      <c r="I17" s="1"/>
    </row>
    <row r="18" spans="1:9" x14ac:dyDescent="0.25">
      <c r="A18" s="1"/>
      <c r="B18" s="1"/>
      <c r="C18" s="6" t="s">
        <v>94</v>
      </c>
      <c r="D18" s="99" t="s">
        <v>86</v>
      </c>
      <c r="E18" s="100"/>
      <c r="F18" s="100"/>
      <c r="G18" s="101"/>
      <c r="H18" s="1"/>
      <c r="I18" s="1"/>
    </row>
    <row r="19" spans="1:9" x14ac:dyDescent="0.25">
      <c r="A19" s="1"/>
      <c r="B19" s="1"/>
      <c r="C19" s="6" t="s">
        <v>95</v>
      </c>
      <c r="D19" s="99" t="s">
        <v>87</v>
      </c>
      <c r="E19" s="100"/>
      <c r="F19" s="100"/>
      <c r="G19" s="101"/>
      <c r="H19" s="1"/>
      <c r="I19" s="1"/>
    </row>
    <row r="20" spans="1:9" x14ac:dyDescent="0.25">
      <c r="A20" s="1"/>
      <c r="B20" s="1"/>
      <c r="C20" s="6" t="s">
        <v>7</v>
      </c>
      <c r="D20" s="99" t="s">
        <v>9</v>
      </c>
      <c r="E20" s="100"/>
      <c r="F20" s="100"/>
      <c r="G20" s="101"/>
      <c r="H20" s="1"/>
      <c r="I20" s="1"/>
    </row>
    <row r="21" spans="1:9" x14ac:dyDescent="0.25">
      <c r="A21" s="1"/>
      <c r="B21" s="1"/>
      <c r="C21" s="6" t="s">
        <v>96</v>
      </c>
      <c r="D21" s="105" t="s">
        <v>11</v>
      </c>
      <c r="E21" s="106"/>
      <c r="F21" s="106"/>
      <c r="G21" s="107"/>
      <c r="H21" s="1"/>
      <c r="I21" s="1"/>
    </row>
    <row r="22" spans="1:9" x14ac:dyDescent="0.25">
      <c r="A22" s="1"/>
      <c r="B22" s="1"/>
      <c r="C22" s="6" t="s">
        <v>78</v>
      </c>
      <c r="D22" s="94" t="s">
        <v>164</v>
      </c>
      <c r="E22" s="95"/>
      <c r="F22" s="95"/>
      <c r="G22" s="96"/>
      <c r="H22" s="1"/>
      <c r="I22" s="1"/>
    </row>
    <row r="23" spans="1:9" x14ac:dyDescent="0.25">
      <c r="A23" s="1"/>
      <c r="B23" s="1"/>
      <c r="C23" s="6" t="s">
        <v>8</v>
      </c>
      <c r="D23" s="94" t="s">
        <v>219</v>
      </c>
      <c r="E23" s="95"/>
      <c r="F23" s="95"/>
      <c r="G23" s="96"/>
      <c r="H23" s="1"/>
      <c r="I23" s="1"/>
    </row>
    <row r="24" spans="1:9" x14ac:dyDescent="0.25">
      <c r="A24" s="1"/>
      <c r="B24" s="1"/>
      <c r="C24" s="6" t="s">
        <v>215</v>
      </c>
      <c r="D24" s="94" t="s">
        <v>205</v>
      </c>
      <c r="E24" s="95"/>
      <c r="F24" s="95"/>
      <c r="G24" s="96"/>
      <c r="H24" s="1"/>
      <c r="I24" s="1"/>
    </row>
    <row r="25" spans="1:9" x14ac:dyDescent="0.25">
      <c r="A25" s="1"/>
      <c r="B25" s="1"/>
      <c r="C25" s="6" t="s">
        <v>216</v>
      </c>
      <c r="D25" s="94" t="s">
        <v>79</v>
      </c>
      <c r="E25" s="95"/>
      <c r="F25" s="95"/>
      <c r="G25" s="96"/>
      <c r="H25" s="1"/>
      <c r="I25" s="1"/>
    </row>
    <row r="26" spans="1:9" x14ac:dyDescent="0.25">
      <c r="A26" s="1"/>
      <c r="B26" s="1"/>
      <c r="C26" s="6" t="s">
        <v>217</v>
      </c>
      <c r="D26" s="94" t="s">
        <v>80</v>
      </c>
      <c r="E26" s="95"/>
      <c r="F26" s="95"/>
      <c r="G26" s="96"/>
      <c r="H26" s="1"/>
      <c r="I26" s="1"/>
    </row>
    <row r="27" spans="1:9" x14ac:dyDescent="0.25">
      <c r="A27" s="1"/>
      <c r="B27" s="1"/>
      <c r="C27" s="6" t="s">
        <v>97</v>
      </c>
      <c r="D27" s="94" t="s">
        <v>111</v>
      </c>
      <c r="E27" s="95"/>
      <c r="F27" s="95"/>
      <c r="G27" s="96"/>
      <c r="H27" s="1"/>
      <c r="I27" s="1"/>
    </row>
    <row r="28" spans="1:9" x14ac:dyDescent="0.25">
      <c r="A28" s="1"/>
      <c r="B28" s="1"/>
      <c r="C28" s="6" t="s">
        <v>91</v>
      </c>
      <c r="D28" s="94" t="s">
        <v>34</v>
      </c>
      <c r="E28" s="95"/>
      <c r="F28" s="95"/>
      <c r="G28" s="96"/>
      <c r="H28" s="1"/>
      <c r="I28" s="1"/>
    </row>
    <row r="29" spans="1:9" x14ac:dyDescent="0.25">
      <c r="A29" s="1"/>
      <c r="B29" s="1"/>
      <c r="C29" s="6" t="s">
        <v>218</v>
      </c>
      <c r="D29" s="102" t="s">
        <v>92</v>
      </c>
      <c r="E29" s="103"/>
      <c r="F29" s="103"/>
      <c r="G29" s="10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mejxb1JyocnXtFQjCiNjeL6JPqLcBVkSuEr2cFbsqYe4jxYkwAtA7hUSD6JrwwWoqGF16sPG93PBTfFvjk9cWg==" saltValue="cEet2EHyg44N+AupfqiiO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1:G21" location="'Fane 6. Ikke-påvirkelige omk.'!A1" display="Ikke-påvirkelige omkostninger" xr:uid="{00000000-0004-0000-0000-000007000000}"/>
    <hyperlink ref="D22:G22" location="'Fane 7. Kontrol af ØR2021'!A1" display="Kontrol af den økonomiske ramme for 2021"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2'!A1" display="Omkostninger i ØR2022"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1"/>
  <sheetViews>
    <sheetView showGridLines="0" view="pageLayout" zoomScaleNormal="100" workbookViewId="0">
      <selection activeCell="B3" sqref="B3:D4"/>
    </sheetView>
  </sheetViews>
  <sheetFormatPr defaultColWidth="9.140625" defaultRowHeight="15" x14ac:dyDescent="0.25"/>
  <cols>
    <col min="1" max="1" width="8.140625" style="2" customWidth="1"/>
    <col min="2" max="2" width="37.85546875" style="2" customWidth="1"/>
    <col min="3" max="3" width="24.85546875" style="2" customWidth="1"/>
    <col min="4" max="4" width="3.140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8" t="s">
        <v>100</v>
      </c>
      <c r="C3" s="108"/>
      <c r="D3" s="108"/>
      <c r="E3" s="1"/>
      <c r="F3" s="1"/>
    </row>
    <row r="4" spans="1:6" ht="15" customHeight="1" x14ac:dyDescent="0.25">
      <c r="A4" s="1"/>
      <c r="B4" s="108"/>
      <c r="C4" s="108"/>
      <c r="D4" s="10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181</v>
      </c>
      <c r="C8" s="128"/>
      <c r="D8" s="129"/>
      <c r="E8" s="1"/>
      <c r="F8" s="1"/>
    </row>
    <row r="9" spans="1:6" ht="15" customHeight="1" x14ac:dyDescent="0.25">
      <c r="A9" s="1"/>
      <c r="B9" s="33" t="s">
        <v>30</v>
      </c>
      <c r="C9" s="11" t="s">
        <v>212</v>
      </c>
      <c r="D9" s="11"/>
      <c r="E9" s="1"/>
      <c r="F9" s="1"/>
    </row>
    <row r="10" spans="1:6" x14ac:dyDescent="0.25">
      <c r="A10" s="1"/>
      <c r="B10" s="79" t="s">
        <v>231</v>
      </c>
      <c r="C10" s="9">
        <v>9878308</v>
      </c>
      <c r="D10" s="14" t="s">
        <v>3</v>
      </c>
      <c r="E10" s="1"/>
      <c r="F10" s="1"/>
    </row>
    <row r="11" spans="1:6" x14ac:dyDescent="0.25">
      <c r="A11" s="1"/>
      <c r="B11" s="79" t="s">
        <v>232</v>
      </c>
      <c r="C11" s="9">
        <v>92565</v>
      </c>
      <c r="D11" s="14" t="s">
        <v>3</v>
      </c>
      <c r="E11" s="1"/>
      <c r="F11" s="1"/>
    </row>
    <row r="12" spans="1:6" x14ac:dyDescent="0.25">
      <c r="A12" s="1"/>
      <c r="B12" s="79" t="s">
        <v>233</v>
      </c>
      <c r="C12" s="9">
        <v>31592.61</v>
      </c>
      <c r="D12" s="14" t="s">
        <v>3</v>
      </c>
      <c r="E12" s="1"/>
      <c r="F12" s="1"/>
    </row>
    <row r="13" spans="1:6" x14ac:dyDescent="0.25">
      <c r="A13" s="1"/>
      <c r="B13" s="89" t="s">
        <v>255</v>
      </c>
      <c r="C13" s="9">
        <v>37418</v>
      </c>
      <c r="D13" s="14" t="s">
        <v>3</v>
      </c>
      <c r="E13" s="1"/>
      <c r="F13" s="1"/>
    </row>
    <row r="14" spans="1:6" x14ac:dyDescent="0.25">
      <c r="A14" s="1"/>
      <c r="B14" s="67" t="s">
        <v>182</v>
      </c>
      <c r="C14" s="12">
        <f>SUM(C10:C13)</f>
        <v>10039883.609999999</v>
      </c>
      <c r="D14" s="13" t="s">
        <v>3</v>
      </c>
      <c r="E14" s="1"/>
      <c r="F14" s="1"/>
    </row>
    <row r="15" spans="1:6" x14ac:dyDescent="0.25">
      <c r="A15" s="1"/>
      <c r="B15" s="67" t="s">
        <v>183</v>
      </c>
      <c r="C15" s="12">
        <f>C14*(1+'Fane 13. Nøgletal'!C15)^2</f>
        <v>10767447.469923969</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sheetData>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G42"/>
  <sheetViews>
    <sheetView showGridLines="0" view="pageLayout" zoomScaleNormal="100" workbookViewId="0"/>
  </sheetViews>
  <sheetFormatPr defaultColWidth="9.140625" defaultRowHeight="15" x14ac:dyDescent="0.25"/>
  <cols>
    <col min="1" max="1" width="3.7109375" style="2" customWidth="1"/>
    <col min="2" max="3" width="9.140625" style="2"/>
    <col min="4" max="4" width="47.85546875" style="2" customWidth="1"/>
    <col min="5" max="5" width="10.85546875" style="2" customWidth="1"/>
    <col min="6" max="6" width="3.140625" style="2" customWidth="1"/>
    <col min="7" max="7" width="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0" t="s">
        <v>184</v>
      </c>
      <c r="C3" s="130"/>
      <c r="D3" s="130"/>
      <c r="E3" s="130"/>
      <c r="F3" s="130"/>
      <c r="G3" s="1"/>
    </row>
    <row r="4" spans="1:7" ht="15" customHeight="1" x14ac:dyDescent="0.25">
      <c r="A4" s="1"/>
      <c r="B4" s="130"/>
      <c r="C4" s="130"/>
      <c r="D4" s="130"/>
      <c r="E4" s="130"/>
      <c r="F4" s="130"/>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27" t="s">
        <v>155</v>
      </c>
      <c r="C8" s="128"/>
      <c r="D8" s="128"/>
      <c r="E8" s="128"/>
      <c r="F8" s="129"/>
      <c r="G8" s="1"/>
    </row>
    <row r="9" spans="1:7" x14ac:dyDescent="0.25">
      <c r="A9" s="1"/>
      <c r="B9" s="134" t="s">
        <v>156</v>
      </c>
      <c r="C9" s="135"/>
      <c r="D9" s="136"/>
      <c r="E9" s="9">
        <v>-1906762</v>
      </c>
      <c r="F9" s="14" t="s">
        <v>3</v>
      </c>
      <c r="G9" s="1"/>
    </row>
    <row r="10" spans="1:7" x14ac:dyDescent="0.25">
      <c r="A10" s="1"/>
      <c r="B10" s="149" t="s">
        <v>234</v>
      </c>
      <c r="C10" s="150"/>
      <c r="D10" s="151"/>
      <c r="E10" s="9">
        <v>-953381</v>
      </c>
      <c r="F10" s="54" t="s">
        <v>3</v>
      </c>
      <c r="G10" s="1"/>
    </row>
    <row r="11" spans="1:7" x14ac:dyDescent="0.25">
      <c r="A11" s="1"/>
      <c r="B11" s="134" t="s">
        <v>185</v>
      </c>
      <c r="C11" s="135"/>
      <c r="D11" s="136"/>
      <c r="E11" s="9">
        <v>-158901.30923519284</v>
      </c>
      <c r="F11" s="14" t="s">
        <v>3</v>
      </c>
      <c r="G11" s="1"/>
    </row>
    <row r="12" spans="1:7" x14ac:dyDescent="0.25">
      <c r="A12" s="1"/>
      <c r="B12" s="67"/>
      <c r="C12" s="68"/>
      <c r="D12" s="68"/>
      <c r="E12" s="68"/>
      <c r="F12" s="19"/>
      <c r="G12" s="1"/>
    </row>
    <row r="13" spans="1:7" ht="65.099999999999994" customHeight="1" x14ac:dyDescent="0.25">
      <c r="A13" s="1"/>
      <c r="B13" s="110" t="s">
        <v>251</v>
      </c>
      <c r="C13" s="111"/>
      <c r="D13" s="111"/>
      <c r="E13" s="111"/>
      <c r="F13" s="112"/>
      <c r="G13" s="1"/>
    </row>
    <row r="14" spans="1:7" ht="27" customHeight="1" x14ac:dyDescent="0.25">
      <c r="A14" s="1"/>
      <c r="B14" s="1"/>
      <c r="C14" s="1"/>
      <c r="D14" s="1"/>
      <c r="E14" s="1"/>
      <c r="F14" s="1"/>
      <c r="G14" s="1"/>
    </row>
    <row r="15" spans="1:7" ht="28.5" customHeight="1" x14ac:dyDescent="0.25">
      <c r="A15" s="1"/>
      <c r="B15" s="127" t="s">
        <v>157</v>
      </c>
      <c r="C15" s="128"/>
      <c r="D15" s="128"/>
      <c r="E15" s="128"/>
      <c r="F15" s="129"/>
      <c r="G15" s="1"/>
    </row>
    <row r="16" spans="1:7" x14ac:dyDescent="0.25">
      <c r="A16" s="1"/>
      <c r="B16" s="134" t="s">
        <v>235</v>
      </c>
      <c r="C16" s="135"/>
      <c r="D16" s="136"/>
      <c r="E16" s="9">
        <f>-39725.3273087982*2</f>
        <v>-79450.654617596403</v>
      </c>
      <c r="F16" s="14" t="s">
        <v>3</v>
      </c>
      <c r="G16" s="1"/>
    </row>
    <row r="17" spans="1:7" x14ac:dyDescent="0.25">
      <c r="A17" s="1"/>
      <c r="B17" s="134" t="s">
        <v>236</v>
      </c>
      <c r="C17" s="135"/>
      <c r="D17" s="136"/>
      <c r="E17" s="9">
        <f>-39725.3273087982*2</f>
        <v>-79450.654617596403</v>
      </c>
      <c r="F17" s="14" t="s">
        <v>3</v>
      </c>
      <c r="G17" s="1"/>
    </row>
    <row r="18" spans="1:7" x14ac:dyDescent="0.25">
      <c r="A18" s="1"/>
      <c r="B18" s="67"/>
      <c r="C18" s="68"/>
      <c r="D18" s="68"/>
      <c r="E18" s="68"/>
      <c r="F18" s="19"/>
      <c r="G18" s="1"/>
    </row>
    <row r="19" spans="1:7" ht="31.5" customHeight="1" x14ac:dyDescent="0.25">
      <c r="A19" s="1"/>
      <c r="B19" s="110" t="s">
        <v>158</v>
      </c>
      <c r="C19" s="111"/>
      <c r="D19" s="111"/>
      <c r="E19" s="111"/>
      <c r="F19" s="112"/>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237</v>
      </c>
      <c r="C22" s="77"/>
      <c r="D22" s="78"/>
      <c r="E22" s="9">
        <v>32242992.062110431</v>
      </c>
      <c r="F22" s="14" t="s">
        <v>3</v>
      </c>
      <c r="G22" s="1"/>
    </row>
    <row r="23" spans="1:7" x14ac:dyDescent="0.25">
      <c r="A23" s="1"/>
      <c r="B23" s="76" t="s">
        <v>187</v>
      </c>
      <c r="C23" s="77"/>
      <c r="D23" s="78"/>
      <c r="E23" s="9">
        <v>30572319.100000001</v>
      </c>
      <c r="F23" s="14" t="s">
        <v>3</v>
      </c>
      <c r="G23" s="1"/>
    </row>
    <row r="24" spans="1:7" x14ac:dyDescent="0.25">
      <c r="A24" s="1"/>
      <c r="B24" s="76" t="s">
        <v>31</v>
      </c>
      <c r="C24" s="77"/>
      <c r="D24" s="78"/>
      <c r="E24" s="9">
        <v>0</v>
      </c>
      <c r="F24" s="14" t="s">
        <v>3</v>
      </c>
      <c r="G24" s="1"/>
    </row>
    <row r="25" spans="1:7" x14ac:dyDescent="0.25">
      <c r="A25" s="1"/>
      <c r="B25" s="51" t="s">
        <v>252</v>
      </c>
      <c r="C25" s="52"/>
      <c r="D25" s="53"/>
      <c r="E25" s="57">
        <f>E22-(E23-E24)</f>
        <v>1670672.96211043</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7" t="s">
        <v>238</v>
      </c>
      <c r="C28" s="128"/>
      <c r="D28" s="128"/>
      <c r="E28" s="128"/>
      <c r="F28" s="129"/>
      <c r="G28" s="1"/>
    </row>
    <row r="29" spans="1:7" x14ac:dyDescent="0.25">
      <c r="A29" s="1"/>
      <c r="B29" s="152" t="s">
        <v>128</v>
      </c>
      <c r="C29" s="153"/>
      <c r="D29" s="15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-158901.30923519281</v>
      </c>
      <c r="F29" s="14" t="s">
        <v>3</v>
      </c>
      <c r="G29" s="1"/>
    </row>
    <row r="30" spans="1:7" x14ac:dyDescent="0.25">
      <c r="A30" s="1"/>
      <c r="B30" s="152" t="s">
        <v>93</v>
      </c>
      <c r="C30" s="153"/>
      <c r="D30" s="154"/>
      <c r="E30" s="9">
        <v>2</v>
      </c>
      <c r="F30" s="14" t="s">
        <v>18</v>
      </c>
      <c r="G30" s="1"/>
    </row>
    <row r="31" spans="1:7" x14ac:dyDescent="0.25">
      <c r="A31" s="1"/>
      <c r="B31" s="145" t="s">
        <v>127</v>
      </c>
      <c r="C31" s="145"/>
      <c r="D31" s="145"/>
      <c r="E31" s="10">
        <f>E29/E30</f>
        <v>-79450.654617596403</v>
      </c>
      <c r="F31" s="17" t="s">
        <v>3</v>
      </c>
      <c r="G31" s="1"/>
    </row>
    <row r="32" spans="1:7" x14ac:dyDescent="0.25">
      <c r="A32" s="1"/>
      <c r="B32" s="146"/>
      <c r="C32" s="147"/>
      <c r="D32" s="147"/>
      <c r="E32" s="147"/>
      <c r="F32" s="14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SYltJjVwGbNHn+Cc4yM+3lfDaEM3mvFX/AZScIK/2v0rhzVlrcPDMlJS8LM2wGSLlW2wB9BU5ljmy5ThEpif/g==" saltValue="zZ5Hin+N7aSolJ72IjoM8w=="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9"/>
  <dimension ref="A1:I42"/>
  <sheetViews>
    <sheetView view="pageLayout" zoomScaleNormal="100" workbookViewId="0"/>
  </sheetViews>
  <sheetFormatPr defaultColWidth="9.140625" defaultRowHeight="15" x14ac:dyDescent="0.25"/>
  <cols>
    <col min="1" max="1" width="4.85546875" style="40" customWidth="1"/>
    <col min="2" max="2" width="22.7109375" style="40" customWidth="1"/>
    <col min="3" max="3" width="8.140625" style="40" customWidth="1"/>
    <col min="4" max="6" width="10.85546875" style="40" customWidth="1"/>
    <col min="7" max="7" width="11.140625" style="40" customWidth="1"/>
    <col min="8" max="8" width="3.140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8" t="s">
        <v>226</v>
      </c>
      <c r="C3" s="108"/>
      <c r="D3" s="108"/>
      <c r="E3" s="108"/>
      <c r="F3" s="108"/>
      <c r="G3" s="108"/>
      <c r="H3" s="108"/>
      <c r="I3" s="1"/>
    </row>
    <row r="4" spans="1:9" ht="15" customHeight="1" x14ac:dyDescent="0.25">
      <c r="A4" s="1"/>
      <c r="B4" s="108"/>
      <c r="C4" s="108"/>
      <c r="D4" s="108"/>
      <c r="E4" s="108"/>
      <c r="F4" s="108"/>
      <c r="G4" s="108"/>
      <c r="H4" s="10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227</v>
      </c>
      <c r="C8" s="128"/>
      <c r="D8" s="128"/>
      <c r="E8" s="128"/>
      <c r="F8" s="128"/>
      <c r="G8" s="128"/>
      <c r="H8" s="129"/>
      <c r="I8" s="1"/>
    </row>
    <row r="9" spans="1:9" ht="15" customHeight="1" x14ac:dyDescent="0.25">
      <c r="A9" s="1"/>
      <c r="B9" s="119" t="s">
        <v>228</v>
      </c>
      <c r="C9" s="120"/>
      <c r="D9" s="120"/>
      <c r="E9" s="120"/>
      <c r="F9" s="120"/>
      <c r="G9" s="120"/>
      <c r="H9" s="121"/>
      <c r="I9" s="1"/>
    </row>
    <row r="10" spans="1:9" x14ac:dyDescent="0.25">
      <c r="A10" s="1"/>
      <c r="B10" s="155" t="s">
        <v>243</v>
      </c>
      <c r="C10" s="156"/>
      <c r="D10" s="156"/>
      <c r="E10" s="156"/>
      <c r="F10" s="157"/>
      <c r="G10" s="56">
        <v>0</v>
      </c>
      <c r="H10" s="9" t="s">
        <v>3</v>
      </c>
      <c r="I10" s="1"/>
    </row>
    <row r="11" spans="1:9" x14ac:dyDescent="0.25">
      <c r="A11" s="1"/>
      <c r="B11" s="155" t="s">
        <v>244</v>
      </c>
      <c r="C11" s="156"/>
      <c r="D11" s="156"/>
      <c r="E11" s="156"/>
      <c r="F11" s="157"/>
      <c r="G11" s="56">
        <v>0</v>
      </c>
      <c r="H11" s="9" t="s">
        <v>3</v>
      </c>
      <c r="I11" s="1"/>
    </row>
    <row r="12" spans="1:9" x14ac:dyDescent="0.25">
      <c r="A12" s="1"/>
      <c r="B12" s="155" t="s">
        <v>245</v>
      </c>
      <c r="C12" s="156"/>
      <c r="D12" s="156"/>
      <c r="E12" s="156"/>
      <c r="F12" s="157"/>
      <c r="G12" s="9">
        <v>0</v>
      </c>
      <c r="H12" s="9" t="s">
        <v>3</v>
      </c>
      <c r="I12" s="1"/>
    </row>
    <row r="13" spans="1:9" x14ac:dyDescent="0.25">
      <c r="A13" s="1"/>
      <c r="B13" s="155" t="s">
        <v>246</v>
      </c>
      <c r="C13" s="156"/>
      <c r="D13" s="156"/>
      <c r="E13" s="156"/>
      <c r="F13" s="157"/>
      <c r="G13" s="9">
        <v>0</v>
      </c>
      <c r="H13" s="9" t="s">
        <v>3</v>
      </c>
      <c r="I13" s="1"/>
    </row>
    <row r="14" spans="1:9" x14ac:dyDescent="0.25">
      <c r="A14" s="1"/>
      <c r="B14" s="155" t="s">
        <v>247</v>
      </c>
      <c r="C14" s="156"/>
      <c r="D14" s="156"/>
      <c r="E14" s="156"/>
      <c r="F14" s="157"/>
      <c r="G14" s="9">
        <v>0</v>
      </c>
      <c r="H14" s="9" t="s">
        <v>3</v>
      </c>
      <c r="I14" s="1"/>
    </row>
    <row r="15" spans="1:9" x14ac:dyDescent="0.25">
      <c r="A15" s="1"/>
      <c r="B15" s="155" t="s">
        <v>248</v>
      </c>
      <c r="C15" s="156"/>
      <c r="D15" s="156"/>
      <c r="E15" s="156"/>
      <c r="F15" s="157"/>
      <c r="G15" s="9">
        <v>0</v>
      </c>
      <c r="H15" s="9" t="s">
        <v>3</v>
      </c>
      <c r="I15" s="1"/>
    </row>
    <row r="16" spans="1:9" x14ac:dyDescent="0.25">
      <c r="A16" s="1"/>
      <c r="B16" s="155" t="s">
        <v>249</v>
      </c>
      <c r="C16" s="156"/>
      <c r="D16" s="156"/>
      <c r="E16" s="156"/>
      <c r="F16" s="157"/>
      <c r="G16" s="9">
        <v>0</v>
      </c>
      <c r="H16" s="9" t="s">
        <v>3</v>
      </c>
      <c r="I16" s="1"/>
    </row>
    <row r="17" spans="1:9" x14ac:dyDescent="0.25">
      <c r="A17" s="1"/>
      <c r="B17" s="155" t="s">
        <v>250</v>
      </c>
      <c r="C17" s="156"/>
      <c r="D17" s="156"/>
      <c r="E17" s="156"/>
      <c r="F17" s="157"/>
      <c r="G17" s="9">
        <v>0</v>
      </c>
      <c r="H17" s="9" t="s">
        <v>3</v>
      </c>
      <c r="I17" s="1"/>
    </row>
    <row r="18" spans="1:9" x14ac:dyDescent="0.25">
      <c r="A18" s="1"/>
      <c r="B18" s="127" t="s">
        <v>229</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1EaRH5tcMO2YNIyNimJrUh/SmTHHXjAH75pDTX++sbASkPPzBDvlnW9Vhbqt7ydfV8NP78uruC9jnef/Fjta5Q==" saltValue="gfUXbewfQMWnG+t1b4ueS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140625" style="2" customWidth="1"/>
    <col min="4" max="4" width="9.28515625" style="2" customWidth="1"/>
    <col min="5" max="5" width="2.85546875" style="2" customWidth="1"/>
    <col min="6" max="6" width="10" style="2" customWidth="1"/>
    <col min="7" max="7" width="2.85546875" style="2" customWidth="1"/>
    <col min="8" max="8" width="10" style="2" customWidth="1"/>
    <col min="9" max="9" width="2.855468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8" t="s">
        <v>220</v>
      </c>
      <c r="C3" s="108"/>
      <c r="D3" s="108"/>
      <c r="E3" s="108"/>
      <c r="F3" s="108"/>
      <c r="G3" s="108"/>
      <c r="H3" s="108"/>
      <c r="I3" s="108"/>
      <c r="J3" s="108"/>
      <c r="K3" s="108"/>
      <c r="L3" s="1"/>
    </row>
    <row r="4" spans="1:12" ht="15" customHeight="1" x14ac:dyDescent="0.25">
      <c r="A4" s="1"/>
      <c r="B4" s="108"/>
      <c r="C4" s="108"/>
      <c r="D4" s="108"/>
      <c r="E4" s="108"/>
      <c r="F4" s="108"/>
      <c r="G4" s="108"/>
      <c r="H4" s="108"/>
      <c r="I4" s="108"/>
      <c r="J4" s="108"/>
      <c r="K4" s="10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192</v>
      </c>
      <c r="C8" s="128"/>
      <c r="D8" s="128"/>
      <c r="E8" s="128"/>
      <c r="F8" s="128"/>
      <c r="G8" s="128"/>
      <c r="H8" s="128"/>
      <c r="I8" s="128"/>
      <c r="J8" s="128"/>
      <c r="K8" s="129"/>
      <c r="L8" s="1"/>
    </row>
    <row r="9" spans="1:12" ht="39.75" customHeight="1" x14ac:dyDescent="0.25">
      <c r="A9" s="1"/>
      <c r="B9" s="18" t="s">
        <v>0</v>
      </c>
      <c r="C9" s="18" t="s">
        <v>1</v>
      </c>
      <c r="D9" s="158" t="s">
        <v>213</v>
      </c>
      <c r="E9" s="159"/>
      <c r="F9" s="158" t="s">
        <v>2</v>
      </c>
      <c r="G9" s="159"/>
      <c r="H9" s="158" t="s">
        <v>214</v>
      </c>
      <c r="I9" s="159"/>
      <c r="J9" s="158" t="s">
        <v>28</v>
      </c>
      <c r="K9" s="159"/>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sheetData>
  <sheetProtection algorithmName="SHA-512" hashValue="/qOPQxJ53yY4feSET1rXAG66W+LmNtqOtl/kIGHhUbAMdFELmGM+AxmjFbxaSpkbBipgdpLyjKfhJ/EJKw0HuQ==" saltValue="YFgpFbqL07nzS6Hmj6URR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1"/>
  <sheetViews>
    <sheetView showGridLines="0" view="pageLayout" zoomScaleNormal="100" workbookViewId="0">
      <selection activeCell="B3" sqref="B3:F4"/>
    </sheetView>
  </sheetViews>
  <sheetFormatPr defaultColWidth="9.140625" defaultRowHeight="15" x14ac:dyDescent="0.25"/>
  <cols>
    <col min="1" max="1" width="5.140625" style="2" customWidth="1"/>
    <col min="2" max="2" width="34.28515625" style="2" customWidth="1"/>
    <col min="3" max="3" width="17.140625" style="2" customWidth="1"/>
    <col min="4" max="4" width="3.140625" style="2" customWidth="1"/>
    <col min="5" max="5" width="17.140625" style="2" customWidth="1"/>
    <col min="6" max="6" width="3.140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221</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241</v>
      </c>
      <c r="C11" s="21">
        <v>309215</v>
      </c>
      <c r="D11" s="14" t="s">
        <v>3</v>
      </c>
      <c r="E11" s="9">
        <v>596553</v>
      </c>
      <c r="F11" s="14" t="s">
        <v>3</v>
      </c>
      <c r="G11" s="1"/>
    </row>
    <row r="12" spans="1:7" x14ac:dyDescent="0.25">
      <c r="A12" s="1"/>
      <c r="B12" s="26" t="s">
        <v>242</v>
      </c>
      <c r="C12" s="21">
        <v>72444</v>
      </c>
      <c r="D12" s="14" t="s">
        <v>3</v>
      </c>
      <c r="E12" s="9">
        <v>85339</v>
      </c>
      <c r="F12" s="14" t="s">
        <v>3</v>
      </c>
      <c r="G12" s="1"/>
    </row>
    <row r="13" spans="1:7" x14ac:dyDescent="0.25">
      <c r="A13" s="1"/>
      <c r="B13" s="26" t="s">
        <v>254</v>
      </c>
      <c r="C13" s="21">
        <v>376349</v>
      </c>
      <c r="D13" s="14" t="s">
        <v>3</v>
      </c>
      <c r="E13" s="9">
        <v>394527</v>
      </c>
      <c r="F13" s="14" t="s">
        <v>3</v>
      </c>
      <c r="G13" s="1"/>
    </row>
    <row r="14" spans="1:7" x14ac:dyDescent="0.25">
      <c r="A14" s="1"/>
      <c r="B14" s="67" t="s">
        <v>148</v>
      </c>
      <c r="C14" s="12">
        <f>SUM(C10:C13)</f>
        <v>758008</v>
      </c>
      <c r="D14" s="13" t="s">
        <v>3</v>
      </c>
      <c r="E14" s="12">
        <f>SUM(E10:E13)</f>
        <v>1076419</v>
      </c>
      <c r="F14" s="13" t="s">
        <v>3</v>
      </c>
      <c r="G14" s="1"/>
    </row>
    <row r="15" spans="1:7" x14ac:dyDescent="0.25">
      <c r="A15" s="1"/>
      <c r="B15" s="67" t="s">
        <v>188</v>
      </c>
      <c r="C15" s="12">
        <f>C14*(1+'Fane 13. Nøgletal'!C15)</f>
        <v>784993.08480000007</v>
      </c>
      <c r="D15" s="13" t="s">
        <v>3</v>
      </c>
      <c r="E15" s="12">
        <f>E14*(1+'Fane 13. Nøgletal'!C15)</f>
        <v>1114739.5164000001</v>
      </c>
      <c r="F15" s="13" t="s">
        <v>3</v>
      </c>
      <c r="G15" s="1"/>
    </row>
    <row r="16" spans="1:7" x14ac:dyDescent="0.25">
      <c r="A16" s="1"/>
      <c r="B16" s="1"/>
      <c r="C16" s="1" t="s">
        <v>210</v>
      </c>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37"/>
  <sheetViews>
    <sheetView showGridLines="0" view="pageLayout" zoomScaleNormal="100" workbookViewId="0"/>
  </sheetViews>
  <sheetFormatPr defaultColWidth="9.140625" defaultRowHeight="15" x14ac:dyDescent="0.25"/>
  <cols>
    <col min="1" max="1" width="5.140625" style="2" customWidth="1"/>
    <col min="2" max="2" width="34.28515625" style="2" customWidth="1"/>
    <col min="3" max="3" width="17.140625" style="2" customWidth="1"/>
    <col min="4" max="4" width="3.140625" style="2" customWidth="1"/>
    <col min="5" max="5" width="17.140625" style="2" customWidth="1"/>
    <col min="6" max="6" width="3.140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222</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7" t="s">
        <v>88</v>
      </c>
      <c r="C9" s="128"/>
      <c r="D9" s="128"/>
      <c r="E9" s="128"/>
      <c r="F9" s="129"/>
      <c r="G9" s="1"/>
    </row>
    <row r="10" spans="1:7" ht="26.25" x14ac:dyDescent="0.25">
      <c r="A10" s="1"/>
      <c r="B10" s="65" t="s">
        <v>15</v>
      </c>
      <c r="C10" s="65" t="s">
        <v>10</v>
      </c>
      <c r="D10" s="66"/>
      <c r="E10" s="65" t="s">
        <v>29</v>
      </c>
      <c r="F10" s="70"/>
      <c r="G10" s="1"/>
    </row>
    <row r="11" spans="1:7" x14ac:dyDescent="0.25">
      <c r="A11" s="1"/>
      <c r="B11" s="22" t="s">
        <v>253</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SxkxchbyC5G6MGFTSB3zRhOMzT85uJFuRJFMN+j1Ed4umm2LLvDT93YJ2qVXYkSHL7CvZ7odhsrg/Ih0NhVYXA==" saltValue="Oa9FzG/UCy7LOg9fp2vVA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5"/>
  <sheetViews>
    <sheetView showGridLines="0" view="pageLayout" zoomScaleNormal="100" workbookViewId="0"/>
  </sheetViews>
  <sheetFormatPr defaultColWidth="9.140625" defaultRowHeight="15" x14ac:dyDescent="0.25"/>
  <cols>
    <col min="1" max="1" width="5.28515625" style="2" customWidth="1"/>
    <col min="2" max="2" width="41.140625" style="2" bestFit="1" customWidth="1"/>
    <col min="3" max="3" width="13.85546875" style="2" customWidth="1"/>
    <col min="4" max="4" width="3.140625" style="2" customWidth="1"/>
    <col min="5" max="5" width="13.85546875" style="2" customWidth="1"/>
    <col min="6" max="6" width="3.140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223</v>
      </c>
      <c r="C3" s="130"/>
      <c r="D3" s="130"/>
      <c r="E3" s="130"/>
      <c r="F3" s="130"/>
      <c r="G3" s="1"/>
    </row>
    <row r="4" spans="1:7" ht="25.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112</v>
      </c>
      <c r="C8" s="128"/>
      <c r="D8" s="128"/>
      <c r="E8" s="128"/>
      <c r="F8" s="129"/>
      <c r="G8" s="1"/>
    </row>
    <row r="9" spans="1:7" ht="15" customHeight="1" x14ac:dyDescent="0.25">
      <c r="A9" s="1"/>
      <c r="B9" s="69" t="s">
        <v>113</v>
      </c>
      <c r="C9" s="119" t="s">
        <v>10</v>
      </c>
      <c r="D9" s="121"/>
      <c r="E9" s="119" t="s">
        <v>29</v>
      </c>
      <c r="F9" s="121"/>
      <c r="G9" s="1"/>
    </row>
    <row r="10" spans="1:7" x14ac:dyDescent="0.25">
      <c r="A10" s="1"/>
      <c r="B10" s="22" t="s">
        <v>239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q5uf/snaHNNnnbWq5vCeJAHs+sRZXPUOiStvisgYB3yC2BhzPEdd/R5ad/RgxJjgSw94EmExm2ezlNXFDhoOBg==" saltValue="8AIA8Ygd4f6C15D88Uw+K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140625" style="2" customWidth="1"/>
    <col min="3" max="3" width="17.140625" style="2" customWidth="1"/>
    <col min="4" max="4" width="3.140625" style="2" customWidth="1"/>
    <col min="5" max="5" width="17.140625" style="2" customWidth="1"/>
    <col min="6" max="6" width="3.140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224</v>
      </c>
      <c r="C3" s="130"/>
      <c r="D3" s="130"/>
      <c r="E3" s="130"/>
      <c r="F3" s="130"/>
      <c r="G3" s="1"/>
    </row>
    <row r="4" spans="1:7" ht="25.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7" t="s">
        <v>85</v>
      </c>
      <c r="C10" s="128"/>
      <c r="D10" s="128"/>
      <c r="E10" s="128"/>
      <c r="F10" s="129"/>
      <c r="G10" s="1"/>
    </row>
    <row r="11" spans="1:7" ht="26.25" x14ac:dyDescent="0.25">
      <c r="A11" s="1"/>
      <c r="B11" s="69" t="s">
        <v>16</v>
      </c>
      <c r="C11" s="69" t="s">
        <v>10</v>
      </c>
      <c r="D11" s="70"/>
      <c r="E11" s="69" t="s">
        <v>29</v>
      </c>
      <c r="F11" s="70"/>
      <c r="G11" s="1"/>
    </row>
    <row r="12" spans="1:7" x14ac:dyDescent="0.25">
      <c r="A12" s="1"/>
      <c r="B12" s="22" t="s">
        <v>240</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yx8HOYov047de5Urf9U8e+NfhdVJQqZFNQm5c7Y4KfipHaBTx+35+R86eIdwn8Vs0v2+69G09FCwwfUkFF0pQ==" saltValue="tuiSqSb2vGsr/ssqcOuZN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140625" style="2" customWidth="1"/>
    <col min="3" max="3" width="6.855468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30" t="s">
        <v>225</v>
      </c>
      <c r="C3" s="130"/>
      <c r="D3" s="1"/>
    </row>
    <row r="4" spans="1:4" ht="25.5" customHeight="1" x14ac:dyDescent="0.25">
      <c r="A4" s="1"/>
      <c r="B4" s="130"/>
      <c r="C4" s="130"/>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7"/>
      <c r="C16" s="129"/>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8"/>
      <c r="D50" s="55"/>
    </row>
    <row r="51" spans="1:4" x14ac:dyDescent="0.25">
      <c r="A51" s="55"/>
      <c r="B51" s="55"/>
      <c r="C51" s="88"/>
      <c r="D51" s="55"/>
    </row>
    <row r="52" spans="1:4" x14ac:dyDescent="0.25">
      <c r="A52" s="55"/>
      <c r="B52" s="55"/>
      <c r="C52" s="88"/>
      <c r="D52" s="55"/>
    </row>
    <row r="53" spans="1:4" x14ac:dyDescent="0.25">
      <c r="A53" s="55"/>
      <c r="B53" s="55"/>
      <c r="C53" s="88"/>
      <c r="D53" s="55"/>
    </row>
  </sheetData>
  <sheetProtection algorithmName="SHA-512" hashValue="MRkTi5+I75I424ujlQwGxuW/raNRZrSYqu5/fuB3kTbe8r8R1D97Nwcw2w7qVyEJ/tatylJGXhPrrf7nYNSkSg==" saltValue="8buXXcbHzgS6UeR3TN1BvA=="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5"/>
  <sheetViews>
    <sheetView showGridLines="0" view="pageLayout" zoomScaleNormal="100" workbookViewId="0">
      <selection activeCell="B3" sqref="B3:D4"/>
    </sheetView>
  </sheetViews>
  <sheetFormatPr defaultColWidth="9.140625" defaultRowHeight="15" x14ac:dyDescent="0.25"/>
  <cols>
    <col min="1" max="1" width="6.7109375" style="2" customWidth="1"/>
    <col min="2" max="2" width="56.85546875" style="2" customWidth="1"/>
    <col min="3" max="3" width="12.85546875" style="2" bestFit="1" customWidth="1"/>
    <col min="4" max="4" width="3" style="2" customWidth="1"/>
    <col min="5" max="5" width="6.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165</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22527256.195390087</v>
      </c>
      <c r="D8" s="8" t="s">
        <v>3</v>
      </c>
      <c r="E8" s="1"/>
    </row>
    <row r="9" spans="1:5" ht="17.100000000000001" customHeight="1" x14ac:dyDescent="0.25">
      <c r="A9" s="1"/>
      <c r="B9" s="23" t="s">
        <v>35</v>
      </c>
      <c r="C9" s="7">
        <f>'Fane 10.1. Varige tillæg'!C15</f>
        <v>784993.08480000007</v>
      </c>
      <c r="D9" s="8" t="s">
        <v>3</v>
      </c>
      <c r="E9" s="1"/>
    </row>
    <row r="10" spans="1:5" ht="17.100000000000001" customHeight="1" x14ac:dyDescent="0.25">
      <c r="A10" s="1"/>
      <c r="B10" s="23" t="s">
        <v>36</v>
      </c>
      <c r="C10" s="9">
        <f>'Fane 10.1. Varige tillæg'!E15</f>
        <v>1114739.5164000001</v>
      </c>
      <c r="D10" s="8" t="s">
        <v>3</v>
      </c>
      <c r="E10" s="1"/>
    </row>
    <row r="11" spans="1:5" ht="17.100000000000001" customHeight="1" x14ac:dyDescent="0.25">
      <c r="A11" s="1"/>
      <c r="B11" s="23" t="s">
        <v>26</v>
      </c>
      <c r="C11" s="9">
        <f>-'Fane 12. Bortfald'!C14</f>
        <v>0</v>
      </c>
      <c r="D11" s="8" t="s">
        <v>3</v>
      </c>
      <c r="E11" s="1"/>
    </row>
    <row r="12" spans="1:5" ht="17.100000000000001" customHeight="1" x14ac:dyDescent="0.25">
      <c r="A12" s="1"/>
      <c r="B12" s="23" t="s">
        <v>25</v>
      </c>
      <c r="C12" s="9">
        <f>-'Fane 12. Bortfald'!E14</f>
        <v>0</v>
      </c>
      <c r="D12" s="8" t="s">
        <v>3</v>
      </c>
      <c r="E12" s="1"/>
    </row>
    <row r="13" spans="1:5" ht="17.100000000000001" customHeight="1" x14ac:dyDescent="0.25">
      <c r="A13" s="1"/>
      <c r="B13" s="23" t="s">
        <v>114</v>
      </c>
      <c r="C13" s="9">
        <f>'Fane 11. Tilknyttet virksomhed'!C12</f>
        <v>0</v>
      </c>
      <c r="D13" s="8" t="s">
        <v>3</v>
      </c>
      <c r="E13" s="1"/>
    </row>
    <row r="14" spans="1:5" ht="17.100000000000001" customHeight="1" x14ac:dyDescent="0.25">
      <c r="A14" s="1"/>
      <c r="B14" s="23" t="s">
        <v>115</v>
      </c>
      <c r="C14" s="9">
        <f>'Fane 11. Tilknyttet virksomhed'!E12</f>
        <v>0</v>
      </c>
      <c r="D14" s="8" t="s">
        <v>3</v>
      </c>
      <c r="E14" s="1"/>
    </row>
    <row r="15" spans="1:5" ht="17.100000000000001" customHeight="1" x14ac:dyDescent="0.25">
      <c r="A15" s="1"/>
      <c r="B15" s="23" t="s">
        <v>17</v>
      </c>
      <c r="C15" s="9">
        <f>SUM(C8:C14)*'Fane 13. Nøgletal'!C15</f>
        <v>869600.80115860724</v>
      </c>
      <c r="D15" s="8" t="s">
        <v>3</v>
      </c>
      <c r="E15" s="1"/>
    </row>
    <row r="16" spans="1:5" ht="17.100000000000001" customHeight="1" x14ac:dyDescent="0.25">
      <c r="A16" s="1"/>
      <c r="B16" s="23" t="s">
        <v>9</v>
      </c>
      <c r="C16" s="9">
        <f>-SUM(C8,C9:C15)*'Fane 5. Individuelt eff. krav'!G9</f>
        <v>-505931.79195497395</v>
      </c>
      <c r="D16" s="8" t="s">
        <v>3</v>
      </c>
      <c r="E16" s="1"/>
    </row>
    <row r="17" spans="1:5" ht="17.100000000000001" customHeight="1" x14ac:dyDescent="0.25">
      <c r="A17" s="1"/>
      <c r="B17" s="23" t="s">
        <v>23</v>
      </c>
      <c r="C17" s="9">
        <f>-'Fane 4.1. Gen. krav - drift'!G43</f>
        <v>-209957.61359403309</v>
      </c>
      <c r="D17" s="8" t="s">
        <v>3</v>
      </c>
      <c r="E17" s="1"/>
    </row>
    <row r="18" spans="1:5" ht="17.100000000000001" customHeight="1" x14ac:dyDescent="0.25">
      <c r="A18" s="1"/>
      <c r="B18" s="23" t="s">
        <v>24</v>
      </c>
      <c r="C18" s="9">
        <f>-'Fane 4.2. Gen. krav - anlæg'!G43</f>
        <v>0</v>
      </c>
      <c r="D18" s="8" t="s">
        <v>3</v>
      </c>
      <c r="E18" s="1"/>
    </row>
    <row r="19" spans="1:5" ht="17.100000000000001" customHeight="1" x14ac:dyDescent="0.25">
      <c r="A19" s="1"/>
      <c r="B19" s="51" t="s">
        <v>19</v>
      </c>
      <c r="C19" s="10">
        <f>SUM(C8,C9:C18)</f>
        <v>24580700.192199688</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omk.'!C15</f>
        <v>10767447.469923969</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8"/>
      <c r="D28" s="19"/>
      <c r="E28" s="1"/>
    </row>
    <row r="29" spans="1:5" x14ac:dyDescent="0.25">
      <c r="A29" s="1"/>
      <c r="B29" s="80" t="s">
        <v>129</v>
      </c>
      <c r="C29" s="10">
        <f>'Fane 7. Kontrol af ØR2021'!E31</f>
        <v>-79450.654617596403</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35268697.007506065</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87"/>
    </row>
  </sheetData>
  <sheetProtection algorithmName="SHA-512" hashValue="eLddIQYn87DtlqrwEYKTqUeFjyAvZyOrb4A0Yd2XhvpjwsLxvLrTx5XZ3jyVG2R0/6BKBkCtNve7OmQfKjjgTQ==" saltValue="dvkiYWfvW11mYBoWXDaCX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0"/>
  <sheetViews>
    <sheetView showGridLines="0" view="pageLayout" zoomScaleNormal="100" workbookViewId="0">
      <selection activeCell="B3" sqref="B3:D4"/>
    </sheetView>
  </sheetViews>
  <sheetFormatPr defaultColWidth="9.140625" defaultRowHeight="15" x14ac:dyDescent="0.25"/>
  <cols>
    <col min="1" max="1" width="5.140625" style="2" customWidth="1"/>
    <col min="2" max="2" width="62.28515625" style="2" customWidth="1"/>
    <col min="3" max="3" width="10.140625" style="2" customWidth="1"/>
    <col min="4" max="4" width="3.140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166</v>
      </c>
      <c r="C3" s="108"/>
      <c r="D3" s="108"/>
      <c r="E3" s="1"/>
    </row>
    <row r="4" spans="1:5" ht="15" customHeight="1" x14ac:dyDescent="0.25">
      <c r="A4" s="1"/>
      <c r="B4" s="108"/>
      <c r="C4" s="108"/>
      <c r="D4" s="108"/>
      <c r="E4" s="1"/>
    </row>
    <row r="5" spans="1:5" x14ac:dyDescent="0.25">
      <c r="A5" s="1"/>
      <c r="B5" s="109"/>
      <c r="C5" s="109"/>
      <c r="D5" s="109"/>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24580700.192199688</v>
      </c>
      <c r="D8" s="8" t="s">
        <v>3</v>
      </c>
      <c r="E8" s="1"/>
    </row>
    <row r="9" spans="1:5" ht="15" customHeight="1" x14ac:dyDescent="0.25">
      <c r="A9" s="1"/>
      <c r="B9" s="64" t="s">
        <v>17</v>
      </c>
      <c r="C9" s="9">
        <f>SUM(C8:C8)*'Fane 13. Nøgletal'!C15</f>
        <v>875072.92684230895</v>
      </c>
      <c r="D9" s="8" t="s">
        <v>3</v>
      </c>
      <c r="E9" s="1"/>
    </row>
    <row r="10" spans="1:5" ht="15" customHeight="1" x14ac:dyDescent="0.25">
      <c r="A10" s="1"/>
      <c r="B10" s="64" t="s">
        <v>9</v>
      </c>
      <c r="C10" s="9">
        <f>-SUM(C8:C9)*'Fane 5. Individuelt eff. krav'!G9</f>
        <v>-509115.46238083998</v>
      </c>
      <c r="D10" s="8" t="s">
        <v>3</v>
      </c>
      <c r="E10" s="1"/>
    </row>
    <row r="11" spans="1:5" ht="15" customHeight="1" x14ac:dyDescent="0.25">
      <c r="A11" s="1"/>
      <c r="B11" s="64" t="s">
        <v>23</v>
      </c>
      <c r="C11" s="9">
        <f>-'Fane 4.1. Gen. krav - drift'!G48</f>
        <v>-213083.46254522109</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24733574.194115937</v>
      </c>
      <c r="D13" s="11" t="s">
        <v>3</v>
      </c>
      <c r="E13" s="1"/>
    </row>
    <row r="14" spans="1:5" x14ac:dyDescent="0.25">
      <c r="A14" s="1"/>
      <c r="B14" s="67" t="s">
        <v>11</v>
      </c>
      <c r="C14" s="68"/>
      <c r="D14" s="19"/>
      <c r="E14" s="1"/>
    </row>
    <row r="15" spans="1:5" ht="15" customHeight="1" x14ac:dyDescent="0.25">
      <c r="A15" s="1"/>
      <c r="B15" s="69" t="s">
        <v>11</v>
      </c>
      <c r="C15" s="10">
        <f>'Fane 6. Ikke-påvirkelige omk.'!C15*(1+'Fane 13. Nøgletal'!C15)</f>
        <v>11150768.599853264</v>
      </c>
      <c r="D15" s="11" t="s">
        <v>3</v>
      </c>
      <c r="E15" s="1"/>
    </row>
    <row r="16" spans="1:5" x14ac:dyDescent="0.25">
      <c r="A16" s="1"/>
      <c r="B16" s="25" t="s">
        <v>128</v>
      </c>
      <c r="C16" s="68"/>
      <c r="D16" s="19"/>
      <c r="E16" s="1"/>
    </row>
    <row r="17" spans="1:5" ht="15" customHeight="1" x14ac:dyDescent="0.25">
      <c r="A17" s="1"/>
      <c r="B17" s="80" t="s">
        <v>129</v>
      </c>
      <c r="C17" s="10">
        <f>'Fane 7. Kontrol af ØR2021'!E31</f>
        <v>-79450.654617596403</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35804892.139351606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zdbza3iUgX13rQyPyKJw17wkWk5WlAkQVN/LbmEETqF/fi0G0MuQttVP4um1v/AzESXbYZfxvS665tuYjW/aJQ==" saltValue="wezR3/p9tTKi6InrCX9k8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1"/>
  <sheetViews>
    <sheetView showGridLines="0" view="pageLayout" zoomScaleNormal="100" workbookViewId="0">
      <selection activeCell="B3" sqref="B3:D4"/>
    </sheetView>
  </sheetViews>
  <sheetFormatPr defaultColWidth="9.140625" defaultRowHeight="15" x14ac:dyDescent="0.25"/>
  <cols>
    <col min="1" max="1" width="5.140625" style="2" customWidth="1"/>
    <col min="2" max="2" width="63.140625" style="2" customWidth="1"/>
    <col min="3" max="3" width="10.140625" style="2" customWidth="1"/>
    <col min="4" max="4" width="3.140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167</v>
      </c>
      <c r="C3" s="108"/>
      <c r="D3" s="108"/>
      <c r="E3" s="1"/>
    </row>
    <row r="4" spans="1:5" ht="15" customHeight="1" x14ac:dyDescent="0.25">
      <c r="A4" s="1"/>
      <c r="B4" s="108"/>
      <c r="C4" s="108"/>
      <c r="D4" s="108"/>
      <c r="E4" s="1"/>
    </row>
    <row r="5" spans="1:5" x14ac:dyDescent="0.25">
      <c r="A5" s="1"/>
      <c r="B5" s="109" t="s">
        <v>20</v>
      </c>
      <c r="C5" s="109"/>
      <c r="D5" s="109"/>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24733574.194115937</v>
      </c>
      <c r="D8" s="8" t="s">
        <v>3</v>
      </c>
      <c r="E8" s="1"/>
    </row>
    <row r="9" spans="1:5" ht="15" customHeight="1" x14ac:dyDescent="0.25">
      <c r="A9" s="1"/>
      <c r="B9" s="64" t="s">
        <v>17</v>
      </c>
      <c r="C9" s="9">
        <f>SUM(C8:C8)*'Fane 13. Nøgletal'!C15</f>
        <v>880515.24131052732</v>
      </c>
      <c r="D9" s="8" t="s">
        <v>3</v>
      </c>
      <c r="E9" s="1"/>
    </row>
    <row r="10" spans="1:5" ht="15" customHeight="1" x14ac:dyDescent="0.25">
      <c r="A10" s="1"/>
      <c r="B10" s="64" t="s">
        <v>9</v>
      </c>
      <c r="C10" s="9">
        <f>-SUM(C8:C9)*'Fane 5. Individuelt eff. krav'!G9</f>
        <v>-512281.78870852926</v>
      </c>
      <c r="D10" s="8" t="s">
        <v>3</v>
      </c>
      <c r="E10" s="1"/>
    </row>
    <row r="11" spans="1:5" ht="15" customHeight="1" x14ac:dyDescent="0.25">
      <c r="A11" s="1"/>
      <c r="B11" s="64" t="s">
        <v>23</v>
      </c>
      <c r="C11" s="9">
        <f>-'Fane 4.1. Gen. krav - drift'!G53</f>
        <v>-216255.84913559433</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24885551.797582339</v>
      </c>
      <c r="D13" s="11" t="s">
        <v>3</v>
      </c>
      <c r="E13" s="1"/>
    </row>
    <row r="14" spans="1:5" x14ac:dyDescent="0.25">
      <c r="A14" s="1"/>
      <c r="B14" s="67" t="s">
        <v>11</v>
      </c>
      <c r="C14" s="68"/>
      <c r="D14" s="19"/>
      <c r="E14" s="1"/>
    </row>
    <row r="15" spans="1:5" ht="15" customHeight="1" x14ac:dyDescent="0.25">
      <c r="A15" s="1"/>
      <c r="B15" s="69" t="s">
        <v>11</v>
      </c>
      <c r="C15" s="10">
        <f>'Fane 6. Ikke-påvirkelige omk.'!C15*(1+'Fane 13. Nøgletal'!C15)^2</f>
        <v>11547735.96200804</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36433287.75959038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e5z63fg6wiXKMb0hQesZf+/6MUzjpgVQKF8MinfVebcpO+Z+1wmaHh0Hnr/LC1FgHjAZD+hhcP/8eH5m763zJQ==" saltValue="w0BVXm27KPJAufisAMQ52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1"/>
  <sheetViews>
    <sheetView showGridLines="0" view="pageLayout" zoomScaleNormal="100" workbookViewId="0">
      <selection activeCell="B3" sqref="B3:D4"/>
    </sheetView>
  </sheetViews>
  <sheetFormatPr defaultColWidth="9.140625" defaultRowHeight="15" x14ac:dyDescent="0.25"/>
  <cols>
    <col min="1" max="1" width="5.140625" style="2" customWidth="1"/>
    <col min="2" max="2" width="63.140625" style="2" customWidth="1"/>
    <col min="3" max="3" width="10.140625" style="2" customWidth="1"/>
    <col min="4" max="4" width="3.140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168</v>
      </c>
      <c r="C3" s="108"/>
      <c r="D3" s="108"/>
      <c r="E3" s="1"/>
    </row>
    <row r="4" spans="1:5" ht="15" customHeight="1" x14ac:dyDescent="0.25">
      <c r="A4" s="1"/>
      <c r="B4" s="108"/>
      <c r="C4" s="108"/>
      <c r="D4" s="108"/>
      <c r="E4" s="1"/>
    </row>
    <row r="5" spans="1:5" x14ac:dyDescent="0.25">
      <c r="A5" s="1"/>
      <c r="B5" s="109" t="s">
        <v>20</v>
      </c>
      <c r="C5" s="109"/>
      <c r="D5" s="109"/>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24885551.797582339</v>
      </c>
      <c r="D8" s="8" t="s">
        <v>3</v>
      </c>
      <c r="E8" s="1"/>
    </row>
    <row r="9" spans="1:5" ht="15" customHeight="1" x14ac:dyDescent="0.25">
      <c r="A9" s="1"/>
      <c r="B9" s="64" t="s">
        <v>17</v>
      </c>
      <c r="C9" s="9">
        <f>SUM(C8:C8)*'Fane 13. Nøgletal'!C15</f>
        <v>885925.64399393124</v>
      </c>
      <c r="D9" s="8" t="s">
        <v>3</v>
      </c>
      <c r="E9" s="1"/>
    </row>
    <row r="10" spans="1:5" ht="15" customHeight="1" x14ac:dyDescent="0.25">
      <c r="A10" s="1"/>
      <c r="B10" s="64" t="s">
        <v>9</v>
      </c>
      <c r="C10" s="9">
        <f>-SUM(C8:C9)*'Fane 5. Individuelt eff. krav'!G9</f>
        <v>-515429.54883152543</v>
      </c>
      <c r="D10" s="8" t="s">
        <v>3</v>
      </c>
      <c r="E10" s="1"/>
    </row>
    <row r="11" spans="1:5" ht="15" customHeight="1" x14ac:dyDescent="0.25">
      <c r="A11" s="1"/>
      <c r="B11" s="64" t="s">
        <v>23</v>
      </c>
      <c r="C11" s="9">
        <f>-'Fane 4.1. Gen. krav - drift'!G58</f>
        <v>-219475.46621752507</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25036572.426527221</v>
      </c>
      <c r="D13" s="11" t="s">
        <v>3</v>
      </c>
      <c r="E13" s="1"/>
    </row>
    <row r="14" spans="1:5" x14ac:dyDescent="0.25">
      <c r="A14" s="1"/>
      <c r="B14" s="67" t="s">
        <v>11</v>
      </c>
      <c r="C14" s="68"/>
      <c r="D14" s="19"/>
      <c r="E14" s="1"/>
    </row>
    <row r="15" spans="1:5" ht="15" customHeight="1" x14ac:dyDescent="0.25">
      <c r="A15" s="1"/>
      <c r="B15" s="69" t="s">
        <v>11</v>
      </c>
      <c r="C15" s="10">
        <f>'Fane 6. Ikke-påvirkelige omk.'!C15*(1+'Fane 13. Nøgletal'!C15)^3</f>
        <v>11958835.362255527</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36995407.788782746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ZylfGl0IDQQVEa5dv5DOUjvjsdNhwhupwa6+Y19O2hQkwPV2Ejmu8yb2FQsd52J3fCy7SXZ1iqGAzuiLqtHz7g==" saltValue="cyBXcZNfx0A2uQMGgzNIG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85546875" style="2" customWidth="1"/>
    <col min="3" max="3" width="9.140625" style="2" hidden="1" customWidth="1"/>
    <col min="4" max="4" width="39.28515625" style="2" hidden="1" customWidth="1"/>
    <col min="5" max="5" width="11.140625" style="2" customWidth="1"/>
    <col min="6" max="6" width="4.7109375" style="2" customWidth="1"/>
    <col min="7" max="7" width="8.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171</v>
      </c>
      <c r="C3" s="130"/>
      <c r="D3" s="130"/>
      <c r="E3" s="130"/>
      <c r="F3" s="130"/>
      <c r="G3" s="1"/>
    </row>
    <row r="4" spans="1:7" ht="29.2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31" t="s">
        <v>22</v>
      </c>
      <c r="C9" s="132"/>
      <c r="D9" s="133"/>
      <c r="E9" s="7">
        <v>22762360.503708553</v>
      </c>
      <c r="F9" s="8" t="s">
        <v>3</v>
      </c>
      <c r="G9" s="1"/>
    </row>
    <row r="10" spans="1:7" ht="15" customHeight="1" x14ac:dyDescent="0.25">
      <c r="A10" s="1"/>
      <c r="B10" s="113" t="s">
        <v>35</v>
      </c>
      <c r="C10" s="114"/>
      <c r="D10" s="115"/>
      <c r="E10" s="9">
        <v>332323.05900000001</v>
      </c>
      <c r="F10" s="8" t="s">
        <v>3</v>
      </c>
      <c r="G10" s="1"/>
    </row>
    <row r="11" spans="1:7" ht="15" customHeight="1" x14ac:dyDescent="0.25">
      <c r="A11" s="1"/>
      <c r="B11" s="113" t="s">
        <v>36</v>
      </c>
      <c r="C11" s="114"/>
      <c r="D11" s="115"/>
      <c r="E11" s="9">
        <v>73861.9427</v>
      </c>
      <c r="F11" s="8" t="s">
        <v>3</v>
      </c>
      <c r="G11" s="1"/>
    </row>
    <row r="12" spans="1:7" x14ac:dyDescent="0.25">
      <c r="A12" s="1"/>
      <c r="B12" s="113" t="s">
        <v>26</v>
      </c>
      <c r="C12" s="114"/>
      <c r="D12" s="115"/>
      <c r="E12" s="9">
        <v>0</v>
      </c>
      <c r="F12" s="8" t="s">
        <v>3</v>
      </c>
      <c r="G12" s="1"/>
    </row>
    <row r="13" spans="1:7" x14ac:dyDescent="0.25">
      <c r="A13" s="1"/>
      <c r="B13" s="113" t="s">
        <v>25</v>
      </c>
      <c r="C13" s="114"/>
      <c r="D13" s="115"/>
      <c r="E13" s="9">
        <v>0</v>
      </c>
      <c r="F13" s="8" t="s">
        <v>3</v>
      </c>
      <c r="G13" s="1"/>
    </row>
    <row r="14" spans="1:7" x14ac:dyDescent="0.25">
      <c r="A14" s="1"/>
      <c r="B14" s="113" t="s">
        <v>114</v>
      </c>
      <c r="C14" s="114"/>
      <c r="D14" s="115"/>
      <c r="E14" s="9">
        <v>0</v>
      </c>
      <c r="F14" s="8" t="s">
        <v>3</v>
      </c>
      <c r="G14" s="1"/>
    </row>
    <row r="15" spans="1:7" x14ac:dyDescent="0.25">
      <c r="A15" s="1"/>
      <c r="B15" s="113" t="s">
        <v>115</v>
      </c>
      <c r="C15" s="114"/>
      <c r="D15" s="115"/>
      <c r="E15" s="9">
        <v>0</v>
      </c>
      <c r="F15" s="8" t="s">
        <v>3</v>
      </c>
      <c r="G15" s="1"/>
    </row>
    <row r="16" spans="1:7" x14ac:dyDescent="0.25">
      <c r="A16" s="1"/>
      <c r="B16" s="113" t="s">
        <v>17</v>
      </c>
      <c r="C16" s="114"/>
      <c r="D16" s="115"/>
      <c r="E16" s="9">
        <v>279041.20865085436</v>
      </c>
      <c r="F16" s="8" t="s">
        <v>3</v>
      </c>
      <c r="G16" s="30"/>
    </row>
    <row r="17" spans="1:7" x14ac:dyDescent="0.25">
      <c r="A17" s="1"/>
      <c r="B17" s="113" t="s">
        <v>9</v>
      </c>
      <c r="C17" s="114"/>
      <c r="D17" s="115"/>
      <c r="E17" s="9">
        <v>-295996.48743954068</v>
      </c>
      <c r="F17" s="8" t="s">
        <v>3</v>
      </c>
      <c r="G17" s="1"/>
    </row>
    <row r="18" spans="1:7" x14ac:dyDescent="0.25">
      <c r="A18" s="1"/>
      <c r="B18" s="113" t="s">
        <v>23</v>
      </c>
      <c r="C18" s="114"/>
      <c r="D18" s="115"/>
      <c r="E18" s="9">
        <v>-190857.35255678996</v>
      </c>
      <c r="F18" s="8" t="s">
        <v>3</v>
      </c>
      <c r="G18" s="1"/>
    </row>
    <row r="19" spans="1:7" x14ac:dyDescent="0.25">
      <c r="A19" s="1"/>
      <c r="B19" s="113" t="s">
        <v>24</v>
      </c>
      <c r="C19" s="114"/>
      <c r="D19" s="115"/>
      <c r="E19" s="9">
        <v>-433476.67867298616</v>
      </c>
      <c r="F19" s="8" t="s">
        <v>3</v>
      </c>
      <c r="G19" s="1"/>
    </row>
    <row r="20" spans="1:7" x14ac:dyDescent="0.25">
      <c r="A20" s="1"/>
      <c r="B20" s="116" t="s">
        <v>19</v>
      </c>
      <c r="C20" s="117"/>
      <c r="D20" s="118"/>
      <c r="E20" s="31">
        <f>SUM(E9:E19)</f>
        <v>22527256.195390087</v>
      </c>
      <c r="F20" s="34" t="s">
        <v>3</v>
      </c>
      <c r="G20" s="1"/>
    </row>
    <row r="21" spans="1:7" x14ac:dyDescent="0.25">
      <c r="A21" s="1"/>
      <c r="B21" s="67" t="s">
        <v>11</v>
      </c>
      <c r="C21" s="68"/>
      <c r="D21" s="68"/>
      <c r="E21" s="68"/>
      <c r="F21" s="19"/>
      <c r="G21" s="1"/>
    </row>
    <row r="22" spans="1:7" x14ac:dyDescent="0.25">
      <c r="A22" s="1"/>
      <c r="B22" s="124" t="s">
        <v>11</v>
      </c>
      <c r="C22" s="125"/>
      <c r="D22" s="126"/>
      <c r="E22" s="10">
        <v>9863794.2036624607</v>
      </c>
      <c r="F22" s="11" t="s">
        <v>3</v>
      </c>
      <c r="G22" s="1"/>
    </row>
    <row r="23" spans="1:7" ht="15" customHeight="1" x14ac:dyDescent="0.25">
      <c r="A23" s="1"/>
      <c r="B23" s="122" t="s">
        <v>80</v>
      </c>
      <c r="C23" s="123"/>
      <c r="D23" s="123"/>
      <c r="E23" s="68"/>
      <c r="F23" s="68"/>
      <c r="G23" s="1"/>
    </row>
    <row r="24" spans="1:7" ht="14.25" customHeight="1" x14ac:dyDescent="0.25">
      <c r="A24" s="1"/>
      <c r="B24" s="110" t="s">
        <v>76</v>
      </c>
      <c r="C24" s="111"/>
      <c r="D24" s="112"/>
      <c r="E24" s="9">
        <v>0</v>
      </c>
      <c r="F24" s="8" t="s">
        <v>3</v>
      </c>
      <c r="G24" s="1"/>
    </row>
    <row r="25" spans="1:7" ht="14.25" customHeight="1" x14ac:dyDescent="0.25">
      <c r="A25" s="1"/>
      <c r="B25" s="110" t="s">
        <v>77</v>
      </c>
      <c r="C25" s="111"/>
      <c r="D25" s="112"/>
      <c r="E25" s="9">
        <v>0</v>
      </c>
      <c r="F25" s="8" t="s">
        <v>3</v>
      </c>
      <c r="G25" s="1"/>
    </row>
    <row r="26" spans="1:7" x14ac:dyDescent="0.25">
      <c r="A26" s="1"/>
      <c r="B26" s="119" t="s">
        <v>81</v>
      </c>
      <c r="C26" s="120"/>
      <c r="D26" s="120"/>
      <c r="E26" s="10">
        <v>0</v>
      </c>
      <c r="F26" s="11" t="s">
        <v>3</v>
      </c>
      <c r="G26" s="1"/>
    </row>
    <row r="27" spans="1:7" x14ac:dyDescent="0.25">
      <c r="A27" s="1"/>
      <c r="B27" s="67" t="s">
        <v>128</v>
      </c>
      <c r="C27" s="68"/>
      <c r="D27" s="68"/>
      <c r="E27" s="68"/>
      <c r="F27" s="19"/>
      <c r="G27" s="1"/>
    </row>
    <row r="28" spans="1:7" ht="15" customHeight="1" x14ac:dyDescent="0.25">
      <c r="A28" s="1"/>
      <c r="B28" s="119" t="s">
        <v>129</v>
      </c>
      <c r="C28" s="120"/>
      <c r="D28" s="121"/>
      <c r="E28" s="10">
        <v>-953381</v>
      </c>
      <c r="F28" s="11" t="s">
        <v>3</v>
      </c>
      <c r="G28" s="1"/>
    </row>
    <row r="29" spans="1:7" x14ac:dyDescent="0.25">
      <c r="A29" s="1"/>
      <c r="B29" s="67" t="s">
        <v>159</v>
      </c>
      <c r="C29" s="68"/>
      <c r="D29" s="68"/>
      <c r="E29" s="68"/>
      <c r="F29" s="19"/>
      <c r="G29" s="1"/>
    </row>
    <row r="30" spans="1:7" ht="15.6" customHeight="1" x14ac:dyDescent="0.25">
      <c r="A30" s="1"/>
      <c r="B30" s="124" t="s">
        <v>160</v>
      </c>
      <c r="C30" s="125"/>
      <c r="D30" s="126"/>
      <c r="E30" s="10">
        <v>0</v>
      </c>
      <c r="F30" s="11" t="s">
        <v>3</v>
      </c>
      <c r="G30" s="1"/>
    </row>
    <row r="31" spans="1:7" ht="15.6" customHeight="1" x14ac:dyDescent="0.25">
      <c r="A31" s="1"/>
      <c r="B31" s="127" t="s">
        <v>153</v>
      </c>
      <c r="C31" s="128"/>
      <c r="D31" s="128"/>
      <c r="E31" s="128"/>
      <c r="F31" s="129"/>
      <c r="G31" s="1"/>
    </row>
    <row r="32" spans="1:7" ht="15.6"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31437669.399052545</v>
      </c>
      <c r="F33" s="37" t="s">
        <v>3</v>
      </c>
      <c r="G33" s="1"/>
    </row>
    <row r="34" spans="1:7" ht="27.75" customHeight="1" x14ac:dyDescent="0.25">
      <c r="A34" s="1"/>
      <c r="B34" s="110" t="s">
        <v>173</v>
      </c>
      <c r="C34" s="111"/>
      <c r="D34" s="111"/>
      <c r="E34" s="111"/>
      <c r="F34" s="11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VpkCoiDINZJXMX1Coo8COjA+L7lSym203CU+M9cS4wXOapaqQxaDy/F+RSsWQT4syRiTOAhz8g6cb9zCU7vy9w==" saltValue="vpqtR17LCICdhnc9feaHEQ=="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5"/>
  <sheetViews>
    <sheetView showGridLines="0" view="pageLayout" zoomScaleNormal="100" workbookViewId="0"/>
  </sheetViews>
  <sheetFormatPr defaultColWidth="9.140625" defaultRowHeight="15" x14ac:dyDescent="0.25"/>
  <cols>
    <col min="1" max="1" width="4.5703125" style="2" customWidth="1"/>
    <col min="2" max="5" width="9.140625" style="2"/>
    <col min="6" max="6" width="18.85546875" style="2" customWidth="1"/>
    <col min="7" max="7" width="13.28515625" style="43" customWidth="1"/>
    <col min="8" max="8" width="3.85546875" style="2" customWidth="1"/>
    <col min="9" max="9" width="4.7109375" style="2" customWidth="1"/>
    <col min="10" max="16384" width="9.140625" style="2"/>
  </cols>
  <sheetData>
    <row r="1" spans="1:9" ht="15" customHeight="1" x14ac:dyDescent="0.25">
      <c r="A1" s="1"/>
      <c r="B1" s="130" t="s">
        <v>98</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0"/>
      <c r="C3" s="130"/>
      <c r="D3" s="130"/>
      <c r="E3" s="130"/>
      <c r="F3" s="130"/>
      <c r="G3" s="130"/>
      <c r="H3" s="130"/>
      <c r="I3" s="1"/>
    </row>
    <row r="4" spans="1:9" x14ac:dyDescent="0.25">
      <c r="A4" s="1"/>
      <c r="B4" s="127" t="s">
        <v>49</v>
      </c>
      <c r="C4" s="128"/>
      <c r="D4" s="128"/>
      <c r="E4" s="128"/>
      <c r="F4" s="128"/>
      <c r="G4" s="128"/>
      <c r="H4" s="129"/>
      <c r="I4" s="1"/>
    </row>
    <row r="5" spans="1:9" x14ac:dyDescent="0.25">
      <c r="A5" s="1"/>
      <c r="B5" s="134" t="s">
        <v>38</v>
      </c>
      <c r="C5" s="135"/>
      <c r="D5" s="135"/>
      <c r="E5" s="135"/>
      <c r="F5" s="136"/>
      <c r="G5" s="58">
        <v>9379425</v>
      </c>
      <c r="H5" s="14" t="s">
        <v>3</v>
      </c>
      <c r="I5" s="1"/>
    </row>
    <row r="6" spans="1:9" x14ac:dyDescent="0.25">
      <c r="A6" s="1"/>
      <c r="B6" s="134" t="s">
        <v>39</v>
      </c>
      <c r="C6" s="135"/>
      <c r="D6" s="135"/>
      <c r="E6" s="135"/>
      <c r="F6" s="136"/>
      <c r="G6" s="58">
        <f>G5*'Fane 13. Nøgletal'!C31</f>
        <v>187588.5</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27" t="s">
        <v>50</v>
      </c>
      <c r="C9" s="128"/>
      <c r="D9" s="128"/>
      <c r="E9" s="128"/>
      <c r="F9" s="128"/>
      <c r="G9" s="140"/>
      <c r="H9" s="129"/>
      <c r="I9" s="1"/>
    </row>
    <row r="10" spans="1:9" x14ac:dyDescent="0.25">
      <c r="A10" s="1"/>
      <c r="B10" s="134" t="s">
        <v>40</v>
      </c>
      <c r="C10" s="135"/>
      <c r="D10" s="135"/>
      <c r="E10" s="135"/>
      <c r="F10" s="136"/>
      <c r="G10" s="58">
        <f>(G5-G6)*(1+'Fane 13. Nøgletal'!C9)</f>
        <v>9308572.8235499989</v>
      </c>
      <c r="H10" s="14" t="s">
        <v>3</v>
      </c>
      <c r="I10" s="1"/>
    </row>
    <row r="11" spans="1:9" x14ac:dyDescent="0.25">
      <c r="A11" s="1"/>
      <c r="B11" s="137" t="s">
        <v>41</v>
      </c>
      <c r="C11" s="138"/>
      <c r="D11" s="138"/>
      <c r="E11" s="138"/>
      <c r="F11" s="139"/>
      <c r="G11" s="58">
        <v>0</v>
      </c>
      <c r="H11" s="14" t="s">
        <v>3</v>
      </c>
      <c r="I11" s="1"/>
    </row>
    <row r="12" spans="1:9" x14ac:dyDescent="0.25">
      <c r="A12" s="1"/>
      <c r="B12" s="134" t="s">
        <v>42</v>
      </c>
      <c r="C12" s="135"/>
      <c r="D12" s="135"/>
      <c r="E12" s="135"/>
      <c r="F12" s="136"/>
      <c r="G12" s="58">
        <f>(G10+G11)*'Fane 13. Nøgletal'!C31</f>
        <v>186171.45647099998</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27" t="s">
        <v>51</v>
      </c>
      <c r="C15" s="128"/>
      <c r="D15" s="128"/>
      <c r="E15" s="128"/>
      <c r="F15" s="128"/>
      <c r="G15" s="140"/>
      <c r="H15" s="129"/>
      <c r="I15" s="1"/>
    </row>
    <row r="16" spans="1:9" x14ac:dyDescent="0.25">
      <c r="A16" s="1"/>
      <c r="B16" s="134" t="s">
        <v>43</v>
      </c>
      <c r="C16" s="135"/>
      <c r="D16" s="135"/>
      <c r="E16" s="135"/>
      <c r="F16" s="136"/>
      <c r="G16" s="58">
        <f>(G10+G11-G12)*(1+'Fane 13. Nøgletal'!C11)</f>
        <v>9276569.9501826335</v>
      </c>
      <c r="H16" s="14" t="s">
        <v>3</v>
      </c>
      <c r="I16" s="1"/>
    </row>
    <row r="17" spans="1:9" x14ac:dyDescent="0.25">
      <c r="A17" s="1"/>
      <c r="B17" s="134" t="s">
        <v>108</v>
      </c>
      <c r="C17" s="135"/>
      <c r="D17" s="135"/>
      <c r="E17" s="135"/>
      <c r="F17" s="136"/>
      <c r="G17" s="58">
        <v>0.40331097219862755</v>
      </c>
      <c r="H17" s="14" t="s">
        <v>3</v>
      </c>
      <c r="I17" s="1"/>
    </row>
    <row r="18" spans="1:9" x14ac:dyDescent="0.25">
      <c r="A18" s="1"/>
      <c r="B18" s="137" t="s">
        <v>44</v>
      </c>
      <c r="C18" s="138"/>
      <c r="D18" s="138"/>
      <c r="E18" s="138"/>
      <c r="F18" s="139"/>
      <c r="G18" s="58">
        <v>0</v>
      </c>
      <c r="H18" s="14" t="s">
        <v>3</v>
      </c>
      <c r="I18" s="1"/>
    </row>
    <row r="19" spans="1:9" x14ac:dyDescent="0.25">
      <c r="A19" s="1"/>
      <c r="B19" s="134" t="s">
        <v>45</v>
      </c>
      <c r="C19" s="135"/>
      <c r="D19" s="135"/>
      <c r="E19" s="135"/>
      <c r="F19" s="136"/>
      <c r="G19" s="58">
        <f>SUM(G16:G18)*'Fane 13. Nøgletal'!C31</f>
        <v>185531.4070698721</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27" t="s">
        <v>52</v>
      </c>
      <c r="C22" s="128"/>
      <c r="D22" s="128"/>
      <c r="E22" s="128"/>
      <c r="F22" s="128"/>
      <c r="G22" s="140"/>
      <c r="H22" s="129"/>
      <c r="I22" s="1"/>
    </row>
    <row r="23" spans="1:9" x14ac:dyDescent="0.25">
      <c r="A23" s="1"/>
      <c r="B23" s="134" t="s">
        <v>46</v>
      </c>
      <c r="C23" s="135"/>
      <c r="D23" s="135"/>
      <c r="E23" s="135"/>
      <c r="F23" s="136"/>
      <c r="G23" s="58">
        <f>(SUM(G16:G18)-G19)*(1+'Fane 13. Nøgletal'!C11)</f>
        <v>9244677.5046182945</v>
      </c>
      <c r="H23" s="14" t="s">
        <v>3</v>
      </c>
      <c r="I23" s="1"/>
    </row>
    <row r="24" spans="1:9" x14ac:dyDescent="0.25">
      <c r="A24" s="1"/>
      <c r="B24" s="137" t="s">
        <v>47</v>
      </c>
      <c r="C24" s="138"/>
      <c r="D24" s="138"/>
      <c r="E24" s="138"/>
      <c r="F24" s="139"/>
      <c r="G24" s="58">
        <v>35330.959510109999</v>
      </c>
      <c r="H24" s="14" t="s">
        <v>3</v>
      </c>
      <c r="I24" s="1"/>
    </row>
    <row r="25" spans="1:9" x14ac:dyDescent="0.25">
      <c r="A25" s="1"/>
      <c r="B25" s="134" t="s">
        <v>48</v>
      </c>
      <c r="C25" s="135"/>
      <c r="D25" s="135"/>
      <c r="E25" s="135"/>
      <c r="F25" s="136"/>
      <c r="G25" s="58">
        <f>(G23+G24)*'Fane 13. Nøgletal'!C31</f>
        <v>185600.16928256809</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27" t="s">
        <v>132</v>
      </c>
      <c r="C28" s="128"/>
      <c r="D28" s="128"/>
      <c r="E28" s="128"/>
      <c r="F28" s="128"/>
      <c r="G28" s="140"/>
      <c r="H28" s="129"/>
      <c r="I28" s="1"/>
    </row>
    <row r="29" spans="1:9" x14ac:dyDescent="0.25">
      <c r="A29" s="1"/>
      <c r="B29" s="134" t="s">
        <v>55</v>
      </c>
      <c r="C29" s="135"/>
      <c r="D29" s="135"/>
      <c r="E29" s="135"/>
      <c r="F29" s="136"/>
      <c r="G29" s="58">
        <f>(G23+G24-G25)*(1+'Fane 13. Nøgletal'!C13)</f>
        <v>9205360.0760429557</v>
      </c>
      <c r="H29" s="14" t="s">
        <v>3</v>
      </c>
      <c r="I29" s="1"/>
    </row>
    <row r="30" spans="1:9" x14ac:dyDescent="0.25">
      <c r="A30" s="1"/>
      <c r="B30" s="134" t="s">
        <v>121</v>
      </c>
      <c r="C30" s="135"/>
      <c r="D30" s="135"/>
      <c r="E30" s="135"/>
      <c r="F30" s="136"/>
      <c r="G30" s="58">
        <v>78769.36391688</v>
      </c>
      <c r="H30" s="14" t="s">
        <v>3</v>
      </c>
      <c r="I30" s="1"/>
    </row>
    <row r="31" spans="1:9" x14ac:dyDescent="0.25">
      <c r="A31" s="1"/>
      <c r="B31" s="134" t="s">
        <v>126</v>
      </c>
      <c r="C31" s="135"/>
      <c r="D31" s="135"/>
      <c r="E31" s="135"/>
      <c r="F31" s="136"/>
      <c r="G31" s="58">
        <f>(G29+G30)*'Fane 13. Nøgletal'!C31</f>
        <v>185682.5887991967</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27" t="s">
        <v>133</v>
      </c>
      <c r="C34" s="128"/>
      <c r="D34" s="128"/>
      <c r="E34" s="128"/>
      <c r="F34" s="128"/>
      <c r="G34" s="140"/>
      <c r="H34" s="129"/>
      <c r="I34" s="1"/>
    </row>
    <row r="35" spans="1:9" x14ac:dyDescent="0.25">
      <c r="A35" s="1"/>
      <c r="B35" s="134" t="s">
        <v>74</v>
      </c>
      <c r="C35" s="135"/>
      <c r="D35" s="135"/>
      <c r="E35" s="135"/>
      <c r="F35" s="136"/>
      <c r="G35" s="58">
        <f>(G29+G30-G31)*(1+'Fane 13. Nøgletal'!C13)</f>
        <v>9209447.902744798</v>
      </c>
      <c r="H35" s="14" t="s">
        <v>3</v>
      </c>
      <c r="I35" s="1"/>
    </row>
    <row r="36" spans="1:9" x14ac:dyDescent="0.25">
      <c r="A36" s="1"/>
      <c r="B36" s="134" t="s">
        <v>152</v>
      </c>
      <c r="C36" s="135"/>
      <c r="D36" s="135"/>
      <c r="E36" s="135"/>
      <c r="F36" s="136"/>
      <c r="G36" s="58">
        <f>('Fane 3. Omkostninger i ØR2022'!E10+'Fane 3. Omkostninger i ØR2022'!E12+'Fane 3. Omkostninger i ØR2022'!E14)*(1+'Fane 13. Nøgletal'!C14)</f>
        <v>333419.72509470006</v>
      </c>
      <c r="H36" s="14" t="s">
        <v>3</v>
      </c>
      <c r="I36" s="1"/>
    </row>
    <row r="37" spans="1:9" x14ac:dyDescent="0.25">
      <c r="A37" s="1"/>
      <c r="B37" s="134" t="s">
        <v>134</v>
      </c>
      <c r="C37" s="135"/>
      <c r="D37" s="135"/>
      <c r="E37" s="135"/>
      <c r="F37" s="136"/>
      <c r="G37" s="58">
        <f>(G35+G36)*'Fane 13. Nøgletal'!C31</f>
        <v>190857.35255678996</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27" t="s">
        <v>198</v>
      </c>
      <c r="C40" s="128"/>
      <c r="D40" s="128"/>
      <c r="E40" s="128"/>
      <c r="F40" s="128"/>
      <c r="G40" s="140"/>
      <c r="H40" s="129"/>
      <c r="I40" s="1"/>
    </row>
    <row r="41" spans="1:9" x14ac:dyDescent="0.25">
      <c r="A41" s="1"/>
      <c r="B41" s="134" t="s">
        <v>73</v>
      </c>
      <c r="C41" s="135"/>
      <c r="D41" s="135"/>
      <c r="E41" s="135"/>
      <c r="F41" s="136"/>
      <c r="G41" s="58">
        <f>(G35+G36-G37)*(1+'Fane 13. Nøgletal'!C15)</f>
        <v>9684941.8410827741</v>
      </c>
      <c r="H41" s="14" t="s">
        <v>3</v>
      </c>
      <c r="I41" s="1"/>
    </row>
    <row r="42" spans="1:9" x14ac:dyDescent="0.25">
      <c r="A42" s="1"/>
      <c r="B42" s="134" t="s">
        <v>197</v>
      </c>
      <c r="C42" s="135"/>
      <c r="D42" s="135"/>
      <c r="E42" s="135"/>
      <c r="F42" s="136"/>
      <c r="G42" s="58">
        <f>('Fane 2.1. Økonomisk ramme 2023'!C9+'Fane 2.1. Økonomisk ramme 2023'!C11+'Fane 2.1. Økonomisk ramme 2023'!C13)*(1+'Fane 13. Nøgletal'!C15)</f>
        <v>812938.83861888014</v>
      </c>
      <c r="H42" s="14" t="s">
        <v>3</v>
      </c>
      <c r="I42" s="1"/>
    </row>
    <row r="43" spans="1:9" x14ac:dyDescent="0.25">
      <c r="A43" s="1"/>
      <c r="B43" s="134" t="s">
        <v>208</v>
      </c>
      <c r="C43" s="135"/>
      <c r="D43" s="135"/>
      <c r="E43" s="135"/>
      <c r="F43" s="136"/>
      <c r="G43" s="58">
        <f>(G41+G42)*'Fane 13. Nøgletal'!C31</f>
        <v>209957.61359403309</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27" t="s">
        <v>199</v>
      </c>
      <c r="C46" s="128"/>
      <c r="D46" s="128"/>
      <c r="E46" s="128"/>
      <c r="F46" s="128"/>
      <c r="G46" s="140"/>
      <c r="H46" s="129"/>
      <c r="I46" s="1"/>
    </row>
    <row r="47" spans="1:9" x14ac:dyDescent="0.25">
      <c r="A47" s="1"/>
      <c r="B47" s="134" t="s">
        <v>122</v>
      </c>
      <c r="C47" s="135"/>
      <c r="D47" s="135"/>
      <c r="E47" s="135"/>
      <c r="F47" s="136"/>
      <c r="G47" s="58">
        <f>(G41+G42-G43)*(1+'Fane 13. Nøgletal'!C15)</f>
        <v>10654173.127261054</v>
      </c>
      <c r="H47" s="14" t="s">
        <v>3</v>
      </c>
      <c r="I47" s="1"/>
    </row>
    <row r="48" spans="1:9" x14ac:dyDescent="0.25">
      <c r="A48" s="1"/>
      <c r="B48" s="134" t="s">
        <v>209</v>
      </c>
      <c r="C48" s="135"/>
      <c r="D48" s="135"/>
      <c r="E48" s="135"/>
      <c r="F48" s="136"/>
      <c r="G48" s="58">
        <f>(G47)*'Fane 13. Nøgletal'!C31</f>
        <v>213083.46254522109</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27" t="s">
        <v>145</v>
      </c>
      <c r="C51" s="128"/>
      <c r="D51" s="128"/>
      <c r="E51" s="128"/>
      <c r="F51" s="128"/>
      <c r="G51" s="140"/>
      <c r="H51" s="129"/>
      <c r="I51" s="1"/>
    </row>
    <row r="52" spans="1:9" x14ac:dyDescent="0.25">
      <c r="A52" s="1"/>
      <c r="B52" s="134" t="s">
        <v>146</v>
      </c>
      <c r="C52" s="135"/>
      <c r="D52" s="135"/>
      <c r="E52" s="135"/>
      <c r="F52" s="136"/>
      <c r="G52" s="58">
        <f>(G47-G48)*(1+'Fane 13. Nøgletal'!C15)</f>
        <v>10812792.456779717</v>
      </c>
      <c r="H52" s="14" t="s">
        <v>3</v>
      </c>
      <c r="I52" s="1"/>
    </row>
    <row r="53" spans="1:9" x14ac:dyDescent="0.25">
      <c r="A53" s="1"/>
      <c r="B53" s="134" t="s">
        <v>147</v>
      </c>
      <c r="C53" s="135"/>
      <c r="D53" s="135"/>
      <c r="E53" s="135"/>
      <c r="F53" s="136"/>
      <c r="G53" s="58">
        <f>(G52)*'Fane 13. Nøgletal'!C31</f>
        <v>216255.84913559433</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27" t="s">
        <v>174</v>
      </c>
      <c r="C56" s="128"/>
      <c r="D56" s="128"/>
      <c r="E56" s="128"/>
      <c r="F56" s="128"/>
      <c r="G56" s="140"/>
      <c r="H56" s="129"/>
      <c r="I56" s="1"/>
    </row>
    <row r="57" spans="1:9" x14ac:dyDescent="0.25">
      <c r="A57" s="1"/>
      <c r="B57" s="134" t="s">
        <v>175</v>
      </c>
      <c r="C57" s="135"/>
      <c r="D57" s="135"/>
      <c r="E57" s="135"/>
      <c r="F57" s="136"/>
      <c r="G57" s="58">
        <f>(G52-G53)*(1+'Fane 13. Nøgletal'!C15)</f>
        <v>10973773.310876254</v>
      </c>
      <c r="H57" s="14" t="s">
        <v>3</v>
      </c>
      <c r="I57" s="1"/>
    </row>
    <row r="58" spans="1:9" x14ac:dyDescent="0.25">
      <c r="A58" s="1"/>
      <c r="B58" s="134" t="s">
        <v>176</v>
      </c>
      <c r="C58" s="135"/>
      <c r="D58" s="135"/>
      <c r="E58" s="135"/>
      <c r="F58" s="136"/>
      <c r="G58" s="58">
        <f>(G57)*'Fane 13. Nøgletal'!C31</f>
        <v>219475.46621752507</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CG/7/jXMvgGhJ3y8CzP1BqOck5sW3FqKUfklBY+XQWVY3naxOKq+07/Cj5Vv4MYsPohgI9ZRlfHLCvFqigYK9A==" saltValue="CTOs91usU/hNsgjrvoMqIA=="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65"/>
  <sheetViews>
    <sheetView showGridLines="0" view="pageLayout" zoomScaleNormal="120" workbookViewId="0"/>
  </sheetViews>
  <sheetFormatPr defaultColWidth="9.140625" defaultRowHeight="15" x14ac:dyDescent="0.25"/>
  <cols>
    <col min="1" max="1" width="4.28515625" style="2" customWidth="1"/>
    <col min="2" max="5" width="9.140625" style="2"/>
    <col min="6" max="6" width="24.28515625" style="2" customWidth="1"/>
    <col min="7" max="7" width="10.140625" style="2" customWidth="1"/>
    <col min="8" max="8" width="2.85546875" style="2" bestFit="1" customWidth="1"/>
    <col min="9" max="9" width="3.7109375" style="2" customWidth="1"/>
    <col min="10" max="16384" width="9.140625" style="2"/>
  </cols>
  <sheetData>
    <row r="1" spans="1:9" x14ac:dyDescent="0.25">
      <c r="A1" s="1"/>
      <c r="B1" s="141" t="s">
        <v>99</v>
      </c>
      <c r="C1" s="142"/>
      <c r="D1" s="142"/>
      <c r="E1" s="142"/>
      <c r="F1" s="142"/>
      <c r="G1" s="142"/>
      <c r="H1" s="142"/>
      <c r="I1" s="1"/>
    </row>
    <row r="2" spans="1:9" ht="20.100000000000001" customHeight="1" x14ac:dyDescent="0.25">
      <c r="A2" s="1"/>
      <c r="B2" s="142"/>
      <c r="C2" s="142"/>
      <c r="D2" s="142"/>
      <c r="E2" s="142"/>
      <c r="F2" s="142"/>
      <c r="G2" s="142"/>
      <c r="H2" s="142"/>
      <c r="I2" s="1"/>
    </row>
    <row r="3" spans="1:9" ht="15" customHeight="1" x14ac:dyDescent="0.25">
      <c r="A3" s="1"/>
      <c r="B3" s="143"/>
      <c r="C3" s="143"/>
      <c r="D3" s="143"/>
      <c r="E3" s="143"/>
      <c r="F3" s="143"/>
      <c r="G3" s="143"/>
      <c r="H3" s="143"/>
      <c r="I3" s="1"/>
    </row>
    <row r="4" spans="1:9" x14ac:dyDescent="0.25">
      <c r="A4" s="1"/>
      <c r="B4" s="127" t="s">
        <v>53</v>
      </c>
      <c r="C4" s="128"/>
      <c r="D4" s="128"/>
      <c r="E4" s="128"/>
      <c r="F4" s="128"/>
      <c r="G4" s="128"/>
      <c r="H4" s="129"/>
      <c r="I4" s="1"/>
    </row>
    <row r="5" spans="1:9" x14ac:dyDescent="0.25">
      <c r="A5" s="1"/>
      <c r="B5" s="134" t="s">
        <v>56</v>
      </c>
      <c r="C5" s="135"/>
      <c r="D5" s="135"/>
      <c r="E5" s="135"/>
      <c r="F5" s="136"/>
      <c r="G5" s="58">
        <v>11786992</v>
      </c>
      <c r="H5" s="14" t="s">
        <v>3</v>
      </c>
      <c r="I5" s="1"/>
    </row>
    <row r="6" spans="1:9" x14ac:dyDescent="0.25">
      <c r="A6" s="1"/>
      <c r="B6" s="134" t="s">
        <v>54</v>
      </c>
      <c r="C6" s="135"/>
      <c r="D6" s="135"/>
      <c r="E6" s="135"/>
      <c r="F6" s="136"/>
      <c r="G6" s="58">
        <f>G5*'Fane 13. Nøgletal'!C20</f>
        <v>107261.6272</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27" t="s">
        <v>57</v>
      </c>
      <c r="C9" s="128"/>
      <c r="D9" s="128"/>
      <c r="E9" s="128"/>
      <c r="F9" s="128"/>
      <c r="G9" s="140"/>
      <c r="H9" s="129"/>
      <c r="I9" s="1"/>
    </row>
    <row r="10" spans="1:9" x14ac:dyDescent="0.25">
      <c r="A10" s="1"/>
      <c r="B10" s="134" t="s">
        <v>58</v>
      </c>
      <c r="C10" s="135"/>
      <c r="D10" s="135"/>
      <c r="E10" s="135"/>
      <c r="F10" s="136"/>
      <c r="G10" s="58">
        <f>(G5-G6)*(1+'Fane 13. Nøgletal'!C9)</f>
        <v>11828062.948534559</v>
      </c>
      <c r="H10" s="14" t="s">
        <v>3</v>
      </c>
      <c r="I10" s="1"/>
    </row>
    <row r="11" spans="1:9" x14ac:dyDescent="0.25">
      <c r="A11" s="1"/>
      <c r="B11" s="137" t="s">
        <v>59</v>
      </c>
      <c r="C11" s="138"/>
      <c r="D11" s="138"/>
      <c r="E11" s="138"/>
      <c r="F11" s="139"/>
      <c r="G11" s="63">
        <v>0</v>
      </c>
      <c r="H11" s="14" t="s">
        <v>3</v>
      </c>
      <c r="I11" s="1"/>
    </row>
    <row r="12" spans="1:9" x14ac:dyDescent="0.25">
      <c r="A12" s="1"/>
      <c r="B12" s="134" t="s">
        <v>60</v>
      </c>
      <c r="C12" s="135"/>
      <c r="D12" s="135"/>
      <c r="E12" s="135"/>
      <c r="F12" s="136"/>
      <c r="G12" s="58">
        <f>G10*'Fane 13. Nøgletal'!C20+G11*'Fane 13. Nøgletal'!C21</f>
        <v>107635.3728316645</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27" t="s">
        <v>61</v>
      </c>
      <c r="C15" s="128"/>
      <c r="D15" s="128"/>
      <c r="E15" s="128"/>
      <c r="F15" s="128"/>
      <c r="G15" s="140"/>
      <c r="H15" s="129"/>
      <c r="I15" s="1"/>
    </row>
    <row r="16" spans="1:9" x14ac:dyDescent="0.25">
      <c r="A16" s="1"/>
      <c r="B16" s="134" t="s">
        <v>62</v>
      </c>
      <c r="C16" s="135"/>
      <c r="D16" s="135"/>
      <c r="E16" s="135"/>
      <c r="F16" s="136"/>
      <c r="G16" s="58">
        <f>(G10+G11-G12)*(1+'Fane 13. Nøgletal'!C11)</f>
        <v>11918502.801732272</v>
      </c>
      <c r="H16" s="14" t="s">
        <v>3</v>
      </c>
      <c r="I16" s="1"/>
    </row>
    <row r="17" spans="1:9" x14ac:dyDescent="0.25">
      <c r="A17" s="1"/>
      <c r="B17" s="134" t="s">
        <v>109</v>
      </c>
      <c r="C17" s="135"/>
      <c r="D17" s="135"/>
      <c r="E17" s="135"/>
      <c r="F17" s="136"/>
      <c r="G17" s="58">
        <v>-204071.58693733384</v>
      </c>
      <c r="H17" s="14" t="s">
        <v>3</v>
      </c>
      <c r="I17" s="1"/>
    </row>
    <row r="18" spans="1:9" x14ac:dyDescent="0.25">
      <c r="A18" s="1"/>
      <c r="B18" s="137" t="s">
        <v>63</v>
      </c>
      <c r="C18" s="138"/>
      <c r="D18" s="138"/>
      <c r="E18" s="138"/>
      <c r="F18" s="139"/>
      <c r="G18" s="58">
        <v>61256.129279569985</v>
      </c>
      <c r="H18" s="14" t="s">
        <v>3</v>
      </c>
      <c r="I18" s="1"/>
    </row>
    <row r="19" spans="1:9" x14ac:dyDescent="0.25">
      <c r="A19" s="1"/>
      <c r="B19" s="134" t="s">
        <v>64</v>
      </c>
      <c r="C19" s="135"/>
      <c r="D19" s="135"/>
      <c r="E19" s="135"/>
      <c r="F19" s="136"/>
      <c r="G19" s="58">
        <f>(G16+G17+G18)*'Fane 13. Nøgletal'!C22</f>
        <v>102448.47989344821</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27" t="s">
        <v>65</v>
      </c>
      <c r="C22" s="128"/>
      <c r="D22" s="128"/>
      <c r="E22" s="128"/>
      <c r="F22" s="128"/>
      <c r="G22" s="140"/>
      <c r="H22" s="129"/>
      <c r="I22" s="1"/>
    </row>
    <row r="23" spans="1:9" x14ac:dyDescent="0.25">
      <c r="A23" s="1"/>
      <c r="B23" s="134" t="s">
        <v>66</v>
      </c>
      <c r="C23" s="135"/>
      <c r="D23" s="135"/>
      <c r="E23" s="135"/>
      <c r="F23" s="136"/>
      <c r="G23" s="58">
        <f>(SUM(G16:G18)-G19)*(1+'Fane 13. Nøgletal'!C11)</f>
        <v>11870516.600985719</v>
      </c>
      <c r="H23" s="14" t="s">
        <v>3</v>
      </c>
      <c r="I23" s="1"/>
    </row>
    <row r="24" spans="1:9" x14ac:dyDescent="0.25">
      <c r="A24" s="1"/>
      <c r="B24" s="137" t="s">
        <v>67</v>
      </c>
      <c r="C24" s="138"/>
      <c r="D24" s="138"/>
      <c r="E24" s="138"/>
      <c r="F24" s="139"/>
      <c r="G24" s="58">
        <v>125474.34818457002</v>
      </c>
      <c r="H24" s="14" t="s">
        <v>3</v>
      </c>
      <c r="I24" s="1"/>
    </row>
    <row r="25" spans="1:9" x14ac:dyDescent="0.25">
      <c r="A25" s="1"/>
      <c r="B25" s="134" t="s">
        <v>68</v>
      </c>
      <c r="C25" s="135"/>
      <c r="D25" s="135"/>
      <c r="E25" s="135"/>
      <c r="F25" s="136"/>
      <c r="G25" s="58">
        <f>G23*'Fane 13. Nøgletal'!C22+G24*'Fane 13. Nøgletal'!C23</f>
        <v>106836.96591701754</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27" t="s">
        <v>130</v>
      </c>
      <c r="C28" s="128"/>
      <c r="D28" s="128"/>
      <c r="E28" s="128"/>
      <c r="F28" s="128"/>
      <c r="G28" s="140"/>
      <c r="H28" s="129"/>
      <c r="I28" s="1"/>
    </row>
    <row r="29" spans="1:9" x14ac:dyDescent="0.25">
      <c r="A29" s="1"/>
      <c r="B29" s="134" t="s">
        <v>69</v>
      </c>
      <c r="C29" s="135"/>
      <c r="D29" s="135"/>
      <c r="E29" s="135"/>
      <c r="F29" s="136"/>
      <c r="G29" s="58">
        <f>(G23+G24-G25)*(1+'Fane 13. Nøgletal'!C13)</f>
        <v>12034201.661848962</v>
      </c>
      <c r="H29" s="14" t="s">
        <v>3</v>
      </c>
      <c r="I29" s="1"/>
    </row>
    <row r="30" spans="1:9" x14ac:dyDescent="0.25">
      <c r="A30" s="1"/>
      <c r="B30" s="134" t="s">
        <v>123</v>
      </c>
      <c r="C30" s="135"/>
      <c r="D30" s="135"/>
      <c r="E30" s="135"/>
      <c r="F30" s="136"/>
      <c r="G30" s="58">
        <v>3938444.6312206797</v>
      </c>
      <c r="H30" s="14" t="s">
        <v>3</v>
      </c>
      <c r="I30" s="1"/>
    </row>
    <row r="31" spans="1:9" x14ac:dyDescent="0.25">
      <c r="A31" s="1"/>
      <c r="B31" s="134" t="s">
        <v>131</v>
      </c>
      <c r="C31" s="135"/>
      <c r="D31" s="135"/>
      <c r="E31" s="135"/>
      <c r="F31" s="136"/>
      <c r="G31" s="58">
        <f>(G29+G30)*'Fane 13. Nøgletal'!C24</f>
        <v>439247.77305941517</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27" t="s">
        <v>135</v>
      </c>
      <c r="C34" s="128"/>
      <c r="D34" s="128"/>
      <c r="E34" s="128"/>
      <c r="F34" s="128"/>
      <c r="G34" s="140"/>
      <c r="H34" s="129"/>
      <c r="I34" s="1"/>
    </row>
    <row r="35" spans="1:9" x14ac:dyDescent="0.25">
      <c r="A35" s="1"/>
      <c r="B35" s="134" t="s">
        <v>72</v>
      </c>
      <c r="C35" s="135"/>
      <c r="D35" s="135"/>
      <c r="E35" s="135"/>
      <c r="F35" s="136"/>
      <c r="G35" s="58">
        <f>(G29+G30-G31)*(1+'Fane 13. Nøgletal'!C13)</f>
        <v>15722905.981954351</v>
      </c>
      <c r="H35" s="14" t="s">
        <v>3</v>
      </c>
      <c r="I35" s="1"/>
    </row>
    <row r="36" spans="1:9" x14ac:dyDescent="0.25">
      <c r="A36" s="1"/>
      <c r="B36" s="134" t="s">
        <v>141</v>
      </c>
      <c r="C36" s="135"/>
      <c r="D36" s="135"/>
      <c r="E36" s="135"/>
      <c r="F36" s="136"/>
      <c r="G36" s="58">
        <f>SUM('Fane 3. Omkostninger i ØR2022'!E11)*(1+'Fane 13. Nøgletal'!C14)</f>
        <v>74105.687110910003</v>
      </c>
      <c r="H36" s="14" t="s">
        <v>3</v>
      </c>
      <c r="I36" s="1"/>
    </row>
    <row r="37" spans="1:9" x14ac:dyDescent="0.25">
      <c r="A37" s="1"/>
      <c r="B37" s="134" t="s">
        <v>136</v>
      </c>
      <c r="C37" s="135"/>
      <c r="D37" s="135"/>
      <c r="E37" s="135"/>
      <c r="F37" s="136"/>
      <c r="G37" s="58">
        <f>G35*'Fane 13. Nøgletal'!C24+G36*'Fane 13. Nøgletal'!C25</f>
        <v>433476.67867298611</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27" t="s">
        <v>200</v>
      </c>
      <c r="C40" s="128"/>
      <c r="D40" s="128"/>
      <c r="E40" s="128"/>
      <c r="F40" s="128"/>
      <c r="G40" s="140"/>
      <c r="H40" s="129"/>
      <c r="I40" s="1"/>
    </row>
    <row r="41" spans="1:9" x14ac:dyDescent="0.25">
      <c r="A41" s="1"/>
      <c r="B41" s="134" t="s">
        <v>71</v>
      </c>
      <c r="C41" s="135"/>
      <c r="D41" s="135"/>
      <c r="E41" s="135"/>
      <c r="F41" s="136"/>
      <c r="G41" s="58">
        <f>(G35+G36-G37)*(1+'Fane 13. Nøgletal'!C15)</f>
        <v>15910476.836050242</v>
      </c>
      <c r="H41" s="14" t="s">
        <v>3</v>
      </c>
      <c r="I41" s="1"/>
    </row>
    <row r="42" spans="1:9" x14ac:dyDescent="0.25">
      <c r="A42" s="1"/>
      <c r="B42" s="134" t="s">
        <v>211</v>
      </c>
      <c r="C42" s="135"/>
      <c r="D42" s="135"/>
      <c r="E42" s="135"/>
      <c r="F42" s="136"/>
      <c r="G42" s="63">
        <f>SUM('Fane 2.1. Økonomisk ramme 2023'!C10+'Fane 2.1. Økonomisk ramme 2023'!C12+'Fane 2.1. Økonomisk ramme 2023'!C14)*(1+'Fane 13. Nøgletal'!C15)</f>
        <v>1154424.2431838401</v>
      </c>
      <c r="H42" s="14" t="s">
        <v>3</v>
      </c>
      <c r="I42" s="1"/>
    </row>
    <row r="43" spans="1:9" x14ac:dyDescent="0.25">
      <c r="A43" s="1"/>
      <c r="B43" s="134" t="s">
        <v>70</v>
      </c>
      <c r="C43" s="135"/>
      <c r="D43" s="135"/>
      <c r="E43" s="135"/>
      <c r="F43" s="136"/>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27" t="s">
        <v>201</v>
      </c>
      <c r="C46" s="128"/>
      <c r="D46" s="128"/>
      <c r="E46" s="128"/>
      <c r="F46" s="128"/>
      <c r="G46" s="140"/>
      <c r="H46" s="129"/>
      <c r="I46" s="1"/>
    </row>
    <row r="47" spans="1:9" x14ac:dyDescent="0.25">
      <c r="A47" s="1"/>
      <c r="B47" s="134" t="s">
        <v>124</v>
      </c>
      <c r="C47" s="135"/>
      <c r="D47" s="135"/>
      <c r="E47" s="135"/>
      <c r="F47" s="136"/>
      <c r="G47" s="58">
        <f>(G41+G42-G43)*(1+'Fane 13. Nøgletal'!C15)</f>
        <v>17672411.557654817</v>
      </c>
      <c r="H47" s="14" t="s">
        <v>3</v>
      </c>
      <c r="I47" s="1"/>
    </row>
    <row r="48" spans="1:9" x14ac:dyDescent="0.25">
      <c r="A48" s="1"/>
      <c r="B48" s="134" t="s">
        <v>125</v>
      </c>
      <c r="C48" s="135"/>
      <c r="D48" s="135"/>
      <c r="E48" s="135"/>
      <c r="F48" s="136"/>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27" t="s">
        <v>142</v>
      </c>
      <c r="C51" s="128"/>
      <c r="D51" s="128"/>
      <c r="E51" s="128"/>
      <c r="F51" s="128"/>
      <c r="G51" s="140"/>
      <c r="H51" s="129"/>
      <c r="I51" s="1"/>
    </row>
    <row r="52" spans="1:9" x14ac:dyDescent="0.25">
      <c r="A52" s="1"/>
      <c r="B52" s="134" t="s">
        <v>143</v>
      </c>
      <c r="C52" s="135"/>
      <c r="D52" s="135"/>
      <c r="E52" s="135"/>
      <c r="F52" s="136"/>
      <c r="G52" s="58">
        <f>(G47-G48)*(1+'Fane 13. Nøgletal'!C15)</f>
        <v>18301549.409107331</v>
      </c>
      <c r="H52" s="14" t="s">
        <v>3</v>
      </c>
      <c r="I52" s="1"/>
    </row>
    <row r="53" spans="1:9" x14ac:dyDescent="0.25">
      <c r="A53" s="1"/>
      <c r="B53" s="134" t="s">
        <v>144</v>
      </c>
      <c r="C53" s="135"/>
      <c r="D53" s="135"/>
      <c r="E53" s="135"/>
      <c r="F53" s="136"/>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27" t="s">
        <v>177</v>
      </c>
      <c r="C56" s="128"/>
      <c r="D56" s="128"/>
      <c r="E56" s="128"/>
      <c r="F56" s="128"/>
      <c r="G56" s="140"/>
      <c r="H56" s="129"/>
      <c r="I56" s="1"/>
    </row>
    <row r="57" spans="1:9" x14ac:dyDescent="0.25">
      <c r="A57" s="1"/>
      <c r="B57" s="134" t="s">
        <v>178</v>
      </c>
      <c r="C57" s="135"/>
      <c r="D57" s="135"/>
      <c r="E57" s="135"/>
      <c r="F57" s="136"/>
      <c r="G57" s="58">
        <f>(G52-G53)*(1+'Fane 13. Nøgletal'!C15)</f>
        <v>18953084.568071555</v>
      </c>
      <c r="H57" s="14" t="s">
        <v>3</v>
      </c>
      <c r="I57" s="1"/>
    </row>
    <row r="58" spans="1:9" x14ac:dyDescent="0.25">
      <c r="A58" s="1"/>
      <c r="B58" s="134" t="s">
        <v>179</v>
      </c>
      <c r="C58" s="135"/>
      <c r="D58" s="135"/>
      <c r="E58" s="135"/>
      <c r="F58" s="136"/>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s13B5ANS/kunJnngQlmbXDUXulD9f+Ue2Evk6h0iwTfLhWCqvNXam6TNSGrCwjOetE4EDZa48GzxAsi7M84r/w==" saltValue="tOdCqHUh+a4nAswcnmsLtg=="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140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8" t="s">
        <v>82</v>
      </c>
      <c r="C3" s="108"/>
      <c r="D3" s="108"/>
      <c r="E3" s="108"/>
      <c r="F3" s="108"/>
      <c r="G3" s="108"/>
      <c r="H3" s="1"/>
    </row>
    <row r="4" spans="1:8" ht="15" customHeight="1" x14ac:dyDescent="0.25">
      <c r="A4" s="1"/>
      <c r="B4" s="108"/>
      <c r="C4" s="108"/>
      <c r="D4" s="108"/>
      <c r="E4" s="108"/>
      <c r="F4" s="108"/>
      <c r="G4" s="10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9</v>
      </c>
      <c r="C8" s="128"/>
      <c r="D8" s="128"/>
      <c r="E8" s="128"/>
      <c r="F8" s="128"/>
      <c r="G8" s="129"/>
      <c r="H8" s="1"/>
    </row>
    <row r="9" spans="1:8" x14ac:dyDescent="0.25">
      <c r="A9" s="1"/>
      <c r="B9" s="84" t="s">
        <v>180</v>
      </c>
      <c r="C9" s="85"/>
      <c r="D9" s="85"/>
      <c r="E9" s="85"/>
      <c r="F9" s="86"/>
      <c r="G9" s="28">
        <v>0.02</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4" t="s">
        <v>202</v>
      </c>
      <c r="C12" s="144"/>
      <c r="D12" s="144"/>
      <c r="E12" s="144"/>
      <c r="F12" s="144"/>
      <c r="G12" s="14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6Xu8AMnxU/S1R00WtQxrGLxajoLJWJBLgsVzueP5tXkxYoZ21+mUtadf0UtWyPFPs/GgaQPnZFf/sd/e8+RODg==" saltValue="q+W82GCFA6Qgj/P6r75t/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Gammelby Dahlgaard</cp:lastModifiedBy>
  <cp:lastPrinted>2016-06-14T12:57:30Z</cp:lastPrinted>
  <dcterms:created xsi:type="dcterms:W3CDTF">2016-06-02T08:51:18Z</dcterms:created>
  <dcterms:modified xsi:type="dcterms:W3CDTF">2023-06-20T14:07:26Z</dcterms:modified>
</cp:coreProperties>
</file>