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Rudersdal AS (V156)\ØR2025\"/>
    </mc:Choice>
  </mc:AlternateContent>
  <xr:revisionPtr revIDLastSave="0" documentId="13_ncr:1_{932110A9-762F-45BA-927D-405721D92957}"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<sst xmlns="http://schemas.openxmlformats.org/spreadsheetml/2006/main" count="455" uniqueCount="207">
  <si>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</si>
  <si>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</si>
  <si>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</si>
  <si>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</si>
  <si>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</si>
  <si>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</si>
  <si>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</si>
  <si>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</si>
  <si>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</si>
  <si>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</si>
  <si>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</si>
  <si>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</si>
  <si>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</si>
  <si>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</si>
  <si>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</si>
  <si>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</si>
  <si>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</si>
  <si>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</si>
  <si>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</si>
  <si>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</si>
  <si>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</si>
  <si>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</si>
  <si>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</si>
  <si>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</si>
  <si>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</si>
  <si>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</si>
  <si>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</si>
  <si>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</si>
  <si>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</si>
  <si>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</si>
  <si>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</si>
  <si>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</si>
  <si>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</si>
  <si>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</si>
  <si>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</si>
  <si>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</si>
  <si>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</si>
  <si>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</si>
  <si>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</si>
  <si>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</si>
  <si>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</si>
  <si>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</si>
  <si>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</si>
  <si>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</si>
  <si>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</si>
  <si>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</si>
  <si>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</si>
  <si>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</si>
  <si>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</si>
  <si>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</si>
  <si>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</si>
  <si>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</si>
  <si>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</si>
  <si>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</si>
  <si>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</si>
  <si>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</si>
  <si>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</si>
  <si>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</si>
  <si>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</si>
  <si>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</si>
  <si>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</si>
  <si>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</si>
  <si>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</si>
  <si>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</si>
  <si>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</si>
  <si>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</si>
  <si>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</si>
  <si>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</si>
  <si>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</si>
  <si>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</si>
  <si>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</si>
  <si>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</si>
  <si>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</si>
  <si>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</si>
  <si>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</si>
  <si>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</si>
  <si>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</si>
  <si>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</si>
  <si>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</si>
  <si>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</si>
  <si>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</si>
  <si>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</si>
  <si>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</si>
  <si>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</si>
  <si>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</si>
  <si>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</si>
  <si>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</si>
  <si>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</si>
  <si>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</si>
  <si>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</si>
  <si>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</si>
  <si>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</si>
  <si>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</si>
  <si>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</si>
  <si>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</si>
  <si>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</si>
  <si>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</si>
  <si>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</si>
  <si>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</si>
  <si>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</si>
  <si>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</si>
  <si>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</si>
  <si>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</si>
  <si>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</si>
  <si>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</si>
  <si>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</si>
  <si>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</si>
  <si>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</si>
  <si>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</si>
  <si>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</si>
  <si>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</si>
  <si>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</si>
  <si>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</si>
  <si>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</si>
  <si>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</si>
  <si>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</si>
  <si>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</si>
  <si>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</si>
  <si>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</si>
  <si>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</si>
  <si>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</si>
  <si>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</si>
  <si>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</si>
  <si>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</si>
  <si>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</si>
  <si>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</si>
  <si>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</si>
  <si>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</si>
  <si>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</si>
  <si>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</si>
  <si>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</si>
  <si>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</si>
  <si>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</si>
  <si>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</si>
  <si>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</si>
  <si>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</si>
  <si>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</si>
  <si>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</si>
  <si>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</si>
  <si>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</si>
  <si>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</si>
  <si>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</si>
  <si>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</si>
  <si>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</si>
  <si>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</si>
  <si>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</si>
  <si>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</si>
  <si>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</si>
  <si>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</si>
  <si>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</si>
  <si>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</si>
  <si>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</si>
  <si>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</si>
  <si>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</si>
  <si>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</si>
  <si>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</si>
  <si>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</si>
  <si>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</si>
  <si>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</si>
  <si>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</si>
  <si>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</si>
  <si>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</si>
  <si>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</si>
  <si>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</si>
  <si>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</si>
  <si>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</si>
  <si>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</si>
  <si>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</si>
  <si>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</si>
  <si>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</si>
  <si>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</si>
  <si>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</si>
  <si>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</si>
  <si>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</si>
  <si>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</si>
  <si>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</si>
  <si>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</si>
  <si>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</si>
  <si>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</si>
  <si>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</si>
  <si>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</si>
  <si>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</si>
  <si>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</si>
  <si>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</si>
  <si>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</si>
  <si>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</si>
  <si>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</si>
  <si>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</si>
  <si>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</si>
  <si>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</si>
  <si>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</si>
  <si>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</si>
  <si>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</si>
  <si>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</si>
  <si>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</si>
  <si>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</si>
  <si>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</si>
  <si>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</si>
  <si>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</si>
  <si>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</si>
  <si>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</si>
  <si>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</si>
  <si>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</si>
  <si>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Erstatninger</t>
  </si>
  <si>
    <t>Fjernaflæste målere</t>
  </si>
  <si>
    <t>Ignition</t>
  </si>
  <si>
    <t>stiketablering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</si>
</sst>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65" fontId="8" fillId="4" borderId="1" xfId="1" applyNumberFormat="1" applyFont="1" applyFill="1" applyBorder="1" applyProtection="1"/>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9" t="s">
        <v>4</v>
      </c>
      <c r="D6" s="89"/>
      <c r="E6" s="89"/>
      <c r="F6" s="89"/>
      <c r="G6" s="1"/>
    </row>
    <row r="7" spans="1:7" ht="15" customHeight="1" x14ac:dyDescent="0.25">
      <c r="A7" s="1"/>
      <c r="B7" s="3"/>
      <c r="C7" s="89"/>
      <c r="D7" s="89"/>
      <c r="E7" s="89"/>
      <c r="F7" s="89"/>
      <c r="G7" s="1"/>
    </row>
    <row r="8" spans="1:7" ht="15.75" x14ac:dyDescent="0.25">
      <c r="A8" s="1"/>
      <c r="B8" s="4"/>
      <c r="C8" s="91" t="s">
        <v>198</v>
      </c>
      <c r="D8" s="91"/>
      <c r="E8" s="91"/>
      <c r="F8" s="91"/>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90" t="s">
        <v>5</v>
      </c>
      <c r="D11" s="90"/>
      <c r="E11" s="90"/>
      <c r="F11" s="90"/>
      <c r="G11" s="1"/>
    </row>
    <row r="12" spans="1:7" x14ac:dyDescent="0.25">
      <c r="A12" s="1"/>
      <c r="B12" s="1"/>
      <c r="C12" s="1"/>
      <c r="D12" s="1"/>
      <c r="E12" s="1"/>
      <c r="F12" s="1"/>
      <c r="G12" s="1"/>
    </row>
    <row r="13" spans="1:7" x14ac:dyDescent="0.25">
      <c r="A13" s="1"/>
      <c r="B13" s="6" t="s">
        <v>6</v>
      </c>
      <c r="C13" s="86" t="s">
        <v>124</v>
      </c>
      <c r="D13" s="87"/>
      <c r="E13" s="87"/>
      <c r="F13" s="88"/>
      <c r="G13" s="1"/>
    </row>
    <row r="14" spans="1:7" x14ac:dyDescent="0.25">
      <c r="A14" s="1"/>
      <c r="B14" s="6" t="s">
        <v>14</v>
      </c>
      <c r="C14" s="86" t="s">
        <v>159</v>
      </c>
      <c r="D14" s="87"/>
      <c r="E14" s="87"/>
      <c r="F14" s="88"/>
      <c r="G14" s="1"/>
    </row>
    <row r="15" spans="1:7" x14ac:dyDescent="0.25">
      <c r="A15" s="1"/>
      <c r="B15" s="6" t="s">
        <v>29</v>
      </c>
      <c r="C15" s="86" t="s">
        <v>107</v>
      </c>
      <c r="D15" s="87"/>
      <c r="E15" s="87"/>
      <c r="F15" s="88"/>
      <c r="G15" s="1"/>
    </row>
    <row r="16" spans="1:7" x14ac:dyDescent="0.25">
      <c r="A16" s="1"/>
      <c r="B16" s="6" t="s">
        <v>30</v>
      </c>
      <c r="C16" s="86" t="s">
        <v>125</v>
      </c>
      <c r="D16" s="87"/>
      <c r="E16" s="87"/>
      <c r="F16" s="88"/>
      <c r="G16" s="1"/>
    </row>
    <row r="17" spans="1:7" x14ac:dyDescent="0.25">
      <c r="A17" s="1"/>
      <c r="B17" s="6" t="s">
        <v>57</v>
      </c>
      <c r="C17" s="86" t="s">
        <v>126</v>
      </c>
      <c r="D17" s="87"/>
      <c r="E17" s="87"/>
      <c r="F17" s="88"/>
      <c r="G17" s="1"/>
    </row>
    <row r="18" spans="1:7" x14ac:dyDescent="0.25">
      <c r="A18" s="1"/>
      <c r="B18" s="6" t="s">
        <v>49</v>
      </c>
      <c r="C18" s="92" t="s">
        <v>42</v>
      </c>
      <c r="D18" s="93"/>
      <c r="E18" s="93"/>
      <c r="F18" s="94"/>
      <c r="G18" s="1"/>
    </row>
    <row r="19" spans="1:7" x14ac:dyDescent="0.25">
      <c r="A19" s="1"/>
      <c r="B19" s="6" t="s">
        <v>50</v>
      </c>
      <c r="C19" s="92" t="s">
        <v>43</v>
      </c>
      <c r="D19" s="93"/>
      <c r="E19" s="93"/>
      <c r="F19" s="94"/>
      <c r="G19" s="1"/>
    </row>
    <row r="20" spans="1:7" x14ac:dyDescent="0.25">
      <c r="A20" s="1"/>
      <c r="B20" s="6" t="s">
        <v>7</v>
      </c>
      <c r="C20" s="92" t="s">
        <v>9</v>
      </c>
      <c r="D20" s="93"/>
      <c r="E20" s="93"/>
      <c r="F20" s="94"/>
      <c r="G20" s="1"/>
    </row>
    <row r="21" spans="1:7" x14ac:dyDescent="0.25">
      <c r="A21" s="1"/>
      <c r="B21" s="6" t="s">
        <v>51</v>
      </c>
      <c r="C21" s="83" t="s">
        <v>11</v>
      </c>
      <c r="D21" s="84"/>
      <c r="E21" s="84"/>
      <c r="F21" s="85"/>
      <c r="G21" s="1"/>
    </row>
    <row r="22" spans="1:7" x14ac:dyDescent="0.25">
      <c r="A22" s="1"/>
      <c r="B22" s="6" t="s">
        <v>37</v>
      </c>
      <c r="C22" s="77" t="s">
        <v>127</v>
      </c>
      <c r="D22" s="78"/>
      <c r="E22" s="78"/>
      <c r="F22" s="79"/>
      <c r="G22" s="1"/>
    </row>
    <row r="23" spans="1:7" x14ac:dyDescent="0.25">
      <c r="A23" s="1"/>
      <c r="B23" s="6" t="s">
        <v>8</v>
      </c>
      <c r="C23" s="77" t="s">
        <v>89</v>
      </c>
      <c r="D23" s="78"/>
      <c r="E23" s="78"/>
      <c r="F23" s="79"/>
      <c r="G23" s="1"/>
    </row>
    <row r="24" spans="1:7" x14ac:dyDescent="0.25">
      <c r="A24" s="1"/>
      <c r="B24" s="6" t="s">
        <v>85</v>
      </c>
      <c r="C24" s="77" t="s">
        <v>78</v>
      </c>
      <c r="D24" s="78"/>
      <c r="E24" s="78"/>
      <c r="F24" s="79"/>
      <c r="G24" s="1"/>
    </row>
    <row r="25" spans="1:7" x14ac:dyDescent="0.25">
      <c r="A25" s="1"/>
      <c r="B25" s="6" t="s">
        <v>86</v>
      </c>
      <c r="C25" s="77" t="s">
        <v>38</v>
      </c>
      <c r="D25" s="78"/>
      <c r="E25" s="78"/>
      <c r="F25" s="79"/>
      <c r="G25" s="1"/>
    </row>
    <row r="26" spans="1:7" x14ac:dyDescent="0.25">
      <c r="A26" s="1"/>
      <c r="B26" s="6" t="s">
        <v>87</v>
      </c>
      <c r="C26" s="77" t="s">
        <v>39</v>
      </c>
      <c r="D26" s="78"/>
      <c r="E26" s="78"/>
      <c r="F26" s="79"/>
      <c r="G26" s="1"/>
    </row>
    <row r="27" spans="1:7" x14ac:dyDescent="0.25">
      <c r="A27" s="1"/>
      <c r="B27" s="6" t="s">
        <v>52</v>
      </c>
      <c r="C27" s="77" t="s">
        <v>58</v>
      </c>
      <c r="D27" s="78"/>
      <c r="E27" s="78"/>
      <c r="F27" s="79"/>
      <c r="G27" s="1"/>
    </row>
    <row r="28" spans="1:7" x14ac:dyDescent="0.25">
      <c r="A28" s="1"/>
      <c r="B28" s="6" t="s">
        <v>46</v>
      </c>
      <c r="C28" s="77" t="s">
        <v>31</v>
      </c>
      <c r="D28" s="78"/>
      <c r="E28" s="78"/>
      <c r="F28" s="79"/>
      <c r="G28" s="1"/>
    </row>
    <row r="29" spans="1:7" x14ac:dyDescent="0.25">
      <c r="A29" s="1"/>
      <c r="B29" s="6" t="s">
        <v>88</v>
      </c>
      <c r="C29" s="80" t="s">
        <v>47</v>
      </c>
      <c r="D29" s="81"/>
      <c r="E29" s="81"/>
      <c r="F29" s="8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eSMSsz5L+bmQfiJ0/yiKg2icKbFi5ESr+W6LGW3QjyTPkQVN0AYZIJdKHHKcBFPAK+7wLQC35O3fD4wn7Tfdjw==" saltValue="DIAt8sDDqrwk0UuNWayzXg=="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55</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9" t="s">
        <v>142</v>
      </c>
      <c r="C8" s="100"/>
      <c r="D8" s="101"/>
      <c r="E8" s="1"/>
    </row>
    <row r="9" spans="1:5" ht="15" customHeight="1" x14ac:dyDescent="0.25">
      <c r="A9" s="1"/>
      <c r="B9" s="51" t="s">
        <v>27</v>
      </c>
      <c r="C9" s="45" t="s">
        <v>145</v>
      </c>
      <c r="D9" s="11"/>
      <c r="E9" s="1"/>
    </row>
    <row r="10" spans="1:5" ht="15" customHeight="1" x14ac:dyDescent="0.25">
      <c r="A10" s="1"/>
      <c r="B10" s="65" t="s">
        <v>199</v>
      </c>
      <c r="C10" s="66">
        <v>9203271</v>
      </c>
      <c r="D10" s="14" t="s">
        <v>3</v>
      </c>
      <c r="E10" s="1"/>
    </row>
    <row r="11" spans="1:5" x14ac:dyDescent="0.25">
      <c r="A11" s="1"/>
      <c r="B11" s="65" t="s">
        <v>200</v>
      </c>
      <c r="C11" s="66">
        <v>71336</v>
      </c>
      <c r="D11" s="14" t="s">
        <v>3</v>
      </c>
      <c r="E11" s="1"/>
    </row>
    <row r="12" spans="1:5" ht="25.5" x14ac:dyDescent="0.25">
      <c r="A12" s="1"/>
      <c r="B12" s="65" t="s">
        <v>201</v>
      </c>
      <c r="C12" s="66">
        <v>41058.07</v>
      </c>
      <c r="D12" s="14" t="s">
        <v>3</v>
      </c>
      <c r="E12" s="1"/>
    </row>
    <row r="13" spans="1:5" x14ac:dyDescent="0.25">
      <c r="A13" s="1"/>
      <c r="B13" s="65" t="s">
        <v>202</v>
      </c>
      <c r="C13" s="66">
        <v>84991</v>
      </c>
      <c r="D13" s="14" t="s">
        <v>3</v>
      </c>
      <c r="E13" s="1"/>
    </row>
    <row r="14" spans="1:5" x14ac:dyDescent="0.25">
      <c r="A14" s="1"/>
      <c r="B14" s="65" t="s">
        <v>203</v>
      </c>
      <c r="C14" s="66">
        <v>26670</v>
      </c>
      <c r="D14" s="14" t="s">
        <v>3</v>
      </c>
      <c r="E14" s="1"/>
    </row>
    <row r="15" spans="1:5" x14ac:dyDescent="0.25">
      <c r="A15" s="1"/>
      <c r="B15" s="65"/>
      <c r="C15" s="66"/>
      <c r="D15" s="14" t="s">
        <v>3</v>
      </c>
      <c r="E15" s="1"/>
    </row>
    <row r="16" spans="1:5" x14ac:dyDescent="0.25">
      <c r="A16" s="1"/>
      <c r="B16" s="65"/>
      <c r="C16" s="66"/>
      <c r="D16" s="14" t="s">
        <v>3</v>
      </c>
      <c r="E16" s="1"/>
    </row>
    <row r="17" spans="1:5" x14ac:dyDescent="0.25">
      <c r="A17" s="1"/>
      <c r="B17" s="65"/>
      <c r="C17" s="66"/>
      <c r="D17" s="14" t="s">
        <v>3</v>
      </c>
      <c r="E17" s="1"/>
    </row>
    <row r="18" spans="1:5" x14ac:dyDescent="0.25">
      <c r="A18" s="1"/>
      <c r="B18" s="65"/>
      <c r="C18" s="66"/>
      <c r="D18" s="14" t="s">
        <v>3</v>
      </c>
      <c r="E18" s="1"/>
    </row>
    <row r="19" spans="1:5" x14ac:dyDescent="0.25">
      <c r="A19" s="1"/>
      <c r="B19" s="52" t="s">
        <v>143</v>
      </c>
      <c r="C19" s="12">
        <f>SUM(C10:C18)</f>
        <v>9427326.0700000003</v>
      </c>
      <c r="D19" s="13" t="s">
        <v>3</v>
      </c>
      <c r="E19" s="1"/>
    </row>
    <row r="20" spans="1:5" x14ac:dyDescent="0.25">
      <c r="A20" s="1"/>
      <c r="B20" s="52" t="s">
        <v>144</v>
      </c>
      <c r="C20" s="12">
        <f>C19*(1+'Fane 13. Nøgletal'!C11)^2</f>
        <v>10718829.109814638</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1JSAEi1QNVz4apRtNXoP5zJ6ezkIax3IAof5BTxZZrRg17lDYyzW24viofjNeiOQ22dGYK4rfKmP9SZ9VMMF2w==" saltValue="SSA6KF/kwAYf8W49zWCMe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7" t="s">
        <v>172</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8"/>
      <c r="C6" s="68"/>
      <c r="D6" s="68"/>
      <c r="E6" s="1"/>
    </row>
    <row r="7" spans="1:5" x14ac:dyDescent="0.25">
      <c r="A7" s="1"/>
      <c r="B7" s="1"/>
      <c r="C7" s="1"/>
      <c r="D7" s="1"/>
      <c r="E7" s="1"/>
    </row>
    <row r="8" spans="1:5" x14ac:dyDescent="0.25">
      <c r="A8" s="1"/>
      <c r="B8" s="99" t="s">
        <v>175</v>
      </c>
      <c r="C8" s="100"/>
      <c r="D8" s="101"/>
      <c r="E8" s="1"/>
    </row>
    <row r="9" spans="1:5" x14ac:dyDescent="0.25">
      <c r="A9" s="1"/>
      <c r="B9" s="56" t="s">
        <v>176</v>
      </c>
      <c r="C9" s="9">
        <v>-2459225.4403438717</v>
      </c>
      <c r="D9" s="39" t="s">
        <v>3</v>
      </c>
      <c r="E9" s="1"/>
    </row>
    <row r="10" spans="1:5" x14ac:dyDescent="0.25">
      <c r="A10" s="1"/>
      <c r="B10" s="56" t="s">
        <v>174</v>
      </c>
      <c r="C10" s="9">
        <v>1875385.0178500637</v>
      </c>
      <c r="D10" s="14" t="s">
        <v>3</v>
      </c>
      <c r="E10" s="1"/>
    </row>
    <row r="11" spans="1:5" x14ac:dyDescent="0.25">
      <c r="A11" s="1"/>
      <c r="B11" s="52"/>
      <c r="C11" s="53"/>
      <c r="D11" s="19"/>
      <c r="E11" s="1"/>
    </row>
    <row r="12" spans="1:5" ht="53.85" customHeight="1" x14ac:dyDescent="0.25">
      <c r="A12" s="1"/>
      <c r="B12" s="108" t="s">
        <v>173</v>
      </c>
      <c r="C12" s="109"/>
      <c r="D12" s="110"/>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0</v>
      </c>
      <c r="D15" s="14" t="s">
        <v>3</v>
      </c>
      <c r="E15" s="1"/>
    </row>
    <row r="16" spans="1:5" x14ac:dyDescent="0.25">
      <c r="A16" s="1"/>
      <c r="B16" s="56" t="s">
        <v>185</v>
      </c>
      <c r="C16" s="9">
        <f>IF(SUM(C9)&gt;0,SUM(C9),0)</f>
        <v>0</v>
      </c>
      <c r="D16" s="14" t="s">
        <v>3</v>
      </c>
      <c r="E16" s="1"/>
    </row>
    <row r="17" spans="1:5" ht="26.25" x14ac:dyDescent="0.25">
      <c r="A17" s="1"/>
      <c r="B17" s="72"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29794560.733672548</v>
      </c>
      <c r="D21" s="14" t="s">
        <v>3</v>
      </c>
      <c r="E21" s="1"/>
    </row>
    <row r="22" spans="1:5" x14ac:dyDescent="0.25">
      <c r="A22" s="1"/>
      <c r="B22" s="56" t="s">
        <v>182</v>
      </c>
      <c r="C22" s="9">
        <v>27180887</v>
      </c>
      <c r="D22" s="14" t="s">
        <v>3</v>
      </c>
      <c r="E22" s="1"/>
    </row>
    <row r="23" spans="1:5" x14ac:dyDescent="0.25">
      <c r="A23" s="1"/>
      <c r="B23" s="56" t="s">
        <v>28</v>
      </c>
      <c r="C23" s="9">
        <v>0</v>
      </c>
      <c r="D23" s="14" t="s">
        <v>3</v>
      </c>
      <c r="E23" s="1"/>
    </row>
    <row r="24" spans="1:5" x14ac:dyDescent="0.25">
      <c r="A24" s="1"/>
      <c r="B24" s="74" t="s">
        <v>183</v>
      </c>
      <c r="C24" s="46">
        <f>C21-C22-C23</f>
        <v>2613673.7336725481</v>
      </c>
      <c r="D24" s="17" t="s">
        <v>3</v>
      </c>
      <c r="E24" s="1"/>
    </row>
    <row r="25" spans="1:5" x14ac:dyDescent="0.25">
      <c r="A25" s="1"/>
      <c r="B25" s="52"/>
      <c r="C25" s="53"/>
      <c r="D25" s="19"/>
      <c r="E25" s="1"/>
    </row>
    <row r="26" spans="1:5" x14ac:dyDescent="0.25">
      <c r="A26" s="1"/>
      <c r="B26" s="1"/>
      <c r="C26" s="1"/>
      <c r="D26" s="1"/>
      <c r="E26" s="1"/>
    </row>
    <row r="27" spans="1:5" x14ac:dyDescent="0.25">
      <c r="A27" s="1"/>
      <c r="B27" s="99" t="s">
        <v>184</v>
      </c>
      <c r="C27" s="100"/>
      <c r="D27" s="101"/>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1"/>
      <c r="C31" s="112"/>
      <c r="D31" s="113"/>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51e2yQyw32dQiNlnijukZlhoU0VPWLFnKfoTitTMoSc/+IUY9PJgDcc4/5kGBN1JnvSex/0RpFe0Dqf0GXu4ow==" saltValue="oCq6SvrISN6qXKFe5FefK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7" t="s">
        <v>96</v>
      </c>
      <c r="C3" s="97"/>
      <c r="D3" s="97"/>
      <c r="E3" s="1"/>
    </row>
    <row r="4" spans="1:5" ht="15" customHeight="1" x14ac:dyDescent="0.25">
      <c r="A4" s="1"/>
      <c r="B4" s="97"/>
      <c r="C4" s="97"/>
      <c r="D4" s="97"/>
      <c r="E4" s="1"/>
    </row>
    <row r="5" spans="1:5" x14ac:dyDescent="0.25">
      <c r="A5" s="1"/>
      <c r="B5" s="97"/>
      <c r="C5" s="97"/>
      <c r="D5" s="97"/>
      <c r="E5" s="1"/>
    </row>
    <row r="6" spans="1:5" x14ac:dyDescent="0.25">
      <c r="A6" s="1"/>
      <c r="B6" s="1"/>
      <c r="C6" s="1"/>
      <c r="D6" s="1"/>
      <c r="E6" s="1"/>
    </row>
    <row r="7" spans="1:5" x14ac:dyDescent="0.25">
      <c r="A7" s="1"/>
      <c r="B7" s="1"/>
      <c r="C7" s="1"/>
      <c r="D7" s="1"/>
      <c r="E7" s="1"/>
    </row>
    <row r="8" spans="1:5" x14ac:dyDescent="0.25">
      <c r="A8" s="1"/>
      <c r="B8" s="99" t="s">
        <v>97</v>
      </c>
      <c r="C8" s="100"/>
      <c r="D8" s="101"/>
      <c r="E8" s="1"/>
    </row>
    <row r="9" spans="1:5" ht="15" customHeight="1" x14ac:dyDescent="0.25">
      <c r="A9" s="1"/>
      <c r="B9" s="114" t="s">
        <v>123</v>
      </c>
      <c r="C9" s="115"/>
      <c r="D9" s="116"/>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O1kd5G5YL+zycFFaYW/Hh93DIHLpmb1fbLDECRIbmiteE8hcEPcUE8ZnB19gMXpDs1mQiK4KlxIWsgHqH/wg==" saltValue="548UKu9xv9V6PtmrpJVIO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90</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9" t="s">
        <v>74</v>
      </c>
      <c r="C8" s="100"/>
      <c r="D8" s="100"/>
      <c r="E8" s="100"/>
      <c r="F8" s="100"/>
      <c r="G8" s="100"/>
      <c r="H8" s="100"/>
      <c r="I8" s="100"/>
      <c r="J8" s="100"/>
      <c r="K8" s="101"/>
      <c r="L8" s="1"/>
    </row>
    <row r="9" spans="1:12" ht="39.75" customHeight="1" x14ac:dyDescent="0.25">
      <c r="A9" s="1"/>
      <c r="B9" s="18" t="s">
        <v>0</v>
      </c>
      <c r="C9" s="18" t="s">
        <v>1</v>
      </c>
      <c r="D9" s="117" t="s">
        <v>83</v>
      </c>
      <c r="E9" s="118"/>
      <c r="F9" s="117" t="s">
        <v>2</v>
      </c>
      <c r="G9" s="118"/>
      <c r="H9" s="117" t="s">
        <v>84</v>
      </c>
      <c r="I9" s="118"/>
      <c r="J9" s="117" t="s">
        <v>25</v>
      </c>
      <c r="K9" s="118"/>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22NNxjmmr7gC0p73D8jpY4Riq9EqCePxJ5J4JjTg7dEHNoeBkJliLv0Eig1LcCU426JYvORVXrG23hzJWV5n7Q==" saltValue="gyc3uzRBH35w3II0/by6O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91</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204</v>
      </c>
      <c r="C11" s="21">
        <v>531457</v>
      </c>
      <c r="D11" s="14" t="s">
        <v>3</v>
      </c>
      <c r="E11" s="9">
        <v>750599</v>
      </c>
      <c r="F11" s="14" t="s">
        <v>3</v>
      </c>
      <c r="G11" s="1"/>
    </row>
    <row r="12" spans="1:7" x14ac:dyDescent="0.25">
      <c r="A12" s="1"/>
      <c r="B12" s="26" t="s">
        <v>205</v>
      </c>
      <c r="C12" s="21">
        <v>7248</v>
      </c>
      <c r="D12" s="14" t="s">
        <v>3</v>
      </c>
      <c r="E12" s="9">
        <v>106828</v>
      </c>
      <c r="F12" s="14" t="s">
        <v>3</v>
      </c>
      <c r="G12" s="1"/>
    </row>
    <row r="13" spans="1:7" x14ac:dyDescent="0.25">
      <c r="A13" s="1"/>
      <c r="B13" s="26" t="s">
        <v>206</v>
      </c>
      <c r="C13" s="21">
        <v>0</v>
      </c>
      <c r="D13" s="14" t="s">
        <v>3</v>
      </c>
      <c r="E13" s="9">
        <v>6624</v>
      </c>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538705</v>
      </c>
      <c r="D17" s="13" t="s">
        <v>3</v>
      </c>
      <c r="E17" s="12">
        <f>SUM(E10:E16)</f>
        <v>864051</v>
      </c>
      <c r="F17" s="13" t="s">
        <v>3</v>
      </c>
      <c r="G17" s="1"/>
    </row>
    <row r="18" spans="1:7" x14ac:dyDescent="0.25">
      <c r="A18" s="1"/>
      <c r="B18" s="52" t="s">
        <v>147</v>
      </c>
      <c r="C18" s="12">
        <f>C17*(1+'Fane 13. Nøgletal'!C11)</f>
        <v>574421.14150000003</v>
      </c>
      <c r="D18" s="13" t="s">
        <v>3</v>
      </c>
      <c r="E18" s="12">
        <f>E17*(1+'Fane 13. Nøgletal'!C11)</f>
        <v>921337.58130000008</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M5nMJ1sD3J1SI8PQtzpHe+OqfxOXjmzniM6gMuTZMLnxujkLkFGMf+IJgKMpXKxXnVbrPyadXixzKbit4IKNqA==" saltValue="vSCLnXDNMNqym7tlJLLOj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92</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9" t="s">
        <v>150</v>
      </c>
      <c r="C8" s="100"/>
      <c r="D8" s="100"/>
      <c r="E8" s="100"/>
      <c r="F8" s="101"/>
      <c r="G8" s="1"/>
    </row>
    <row r="9" spans="1:7" x14ac:dyDescent="0.25">
      <c r="A9" s="1"/>
      <c r="B9" s="72" t="s">
        <v>15</v>
      </c>
      <c r="C9" s="74" t="s">
        <v>10</v>
      </c>
      <c r="D9" s="75"/>
      <c r="E9" s="74" t="s">
        <v>26</v>
      </c>
      <c r="F9" s="27"/>
      <c r="G9" s="1"/>
    </row>
    <row r="10" spans="1:7" x14ac:dyDescent="0.25">
      <c r="A10" s="1"/>
      <c r="B10" s="23" t="s">
        <v>204</v>
      </c>
      <c r="C10" s="21">
        <v>0</v>
      </c>
      <c r="D10" s="14" t="s">
        <v>3</v>
      </c>
      <c r="E10" s="9">
        <v>51765</v>
      </c>
      <c r="F10" s="14" t="s">
        <v>3</v>
      </c>
      <c r="G10" s="1"/>
    </row>
    <row r="11" spans="1:7" x14ac:dyDescent="0.25">
      <c r="A11" s="1"/>
      <c r="B11" s="23" t="s">
        <v>205</v>
      </c>
      <c r="C11" s="21">
        <v>0</v>
      </c>
      <c r="D11" s="14" t="s">
        <v>3</v>
      </c>
      <c r="E11" s="9">
        <v>2288</v>
      </c>
      <c r="F11" s="14" t="s">
        <v>3</v>
      </c>
      <c r="G11" s="1"/>
    </row>
    <row r="12" spans="1:7" x14ac:dyDescent="0.25">
      <c r="A12" s="1"/>
      <c r="B12" s="23" t="s">
        <v>206</v>
      </c>
      <c r="C12" s="21">
        <v>0</v>
      </c>
      <c r="D12" s="14" t="s">
        <v>3</v>
      </c>
      <c r="E12" s="9">
        <v>1135</v>
      </c>
      <c r="F12" s="14" t="s">
        <v>3</v>
      </c>
      <c r="G12" s="1"/>
    </row>
    <row r="13" spans="1:7" x14ac:dyDescent="0.25">
      <c r="A13" s="1"/>
      <c r="B13" s="52" t="s">
        <v>148</v>
      </c>
      <c r="C13" s="12">
        <f>SUM(C10:C12)</f>
        <v>0</v>
      </c>
      <c r="D13" s="13" t="s">
        <v>3</v>
      </c>
      <c r="E13" s="12">
        <f>SUM(E10:E12)</f>
        <v>55188</v>
      </c>
      <c r="F13" s="13" t="s">
        <v>3</v>
      </c>
      <c r="G13" s="1"/>
    </row>
    <row r="14" spans="1:7" x14ac:dyDescent="0.25">
      <c r="A14" s="1"/>
      <c r="B14" s="52" t="s">
        <v>149</v>
      </c>
      <c r="C14" s="12">
        <f>C13*(1+'Fane 13. Nøgletal'!$C$11)^2</f>
        <v>0</v>
      </c>
      <c r="D14" s="13" t="s">
        <v>3</v>
      </c>
      <c r="E14" s="12">
        <f>E13*(1+'Fane 13. Nøgletal'!$C$11)^2</f>
        <v>62748.518139719999</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5A5C3mW/+a4i7G88WyeZtho2sHMbNCwLtEB/jbGtIF/Xm94NifNsGnB5pHzFMXwbUWGXl8rXnXeP0Yb+DZg8A==" saltValue="ZNb+2fWyCsM+qZAQIcZz3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93</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x14ac:dyDescent="0.25">
      <c r="A7" s="1"/>
      <c r="B7" s="1"/>
      <c r="C7" s="1"/>
      <c r="D7" s="1"/>
      <c r="E7" s="1"/>
      <c r="F7" s="1"/>
      <c r="G7" s="1"/>
    </row>
    <row r="8" spans="1:7" x14ac:dyDescent="0.25">
      <c r="A8" s="1"/>
      <c r="B8" s="99" t="s">
        <v>59</v>
      </c>
      <c r="C8" s="100"/>
      <c r="D8" s="100"/>
      <c r="E8" s="100"/>
      <c r="F8" s="101"/>
      <c r="G8" s="1"/>
    </row>
    <row r="9" spans="1:7" ht="15" customHeight="1" x14ac:dyDescent="0.25">
      <c r="A9" s="1"/>
      <c r="B9" s="54" t="s">
        <v>60</v>
      </c>
      <c r="C9" s="119" t="s">
        <v>10</v>
      </c>
      <c r="D9" s="120"/>
      <c r="E9" s="119" t="s">
        <v>26</v>
      </c>
      <c r="F9" s="120"/>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gmmpxgb9O+3LwUQ2HPJZ2e32rL+sWkXmIvlJhE8JU7PC2kZvFPqBA4pZTXfM/LPWHPbnWJX9XCUdVx9suX8Xgg==" saltValue="gn/I74O+7GNjppQR0dKYpw=="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94</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9" t="s">
        <v>152</v>
      </c>
      <c r="C8" s="100"/>
      <c r="D8" s="100"/>
      <c r="E8" s="100"/>
      <c r="F8" s="101"/>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bbfo6/0xXT/3cDNxh2FVJHrC8bItMdL6eCc5/VAQR5mXOlagXiK8Bya/rEIbkRLF6r2dIMkcRJXxUXMcGmGog==" saltValue="F2Uw7KdLW9le3yKpdsT0r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7" t="s">
        <v>95</v>
      </c>
      <c r="C3" s="97"/>
      <c r="D3" s="1"/>
    </row>
    <row r="4" spans="1:4" ht="15" customHeight="1" x14ac:dyDescent="0.25">
      <c r="A4" s="1"/>
      <c r="B4" s="97"/>
      <c r="C4" s="97"/>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196</v>
      </c>
      <c r="C11" s="49">
        <v>6.6299999999999998E-2</v>
      </c>
      <c r="D11" s="1"/>
    </row>
    <row r="12" spans="1:4" x14ac:dyDescent="0.25">
      <c r="A12" s="1"/>
      <c r="B12" s="99"/>
      <c r="C12" s="101"/>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197</v>
      </c>
      <c r="C18" s="64">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MjEP2mVocQMr6QEyzTOs/bDjK5IC4Du2aIqxOLG3TUpghW2JcIdNAxtFfNkbEN/EH6RwsNs739PvuXNE5Wexw==" saltValue="VLbg+Z9iih9ZGWq7WXXLaQ=="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128</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18310990.909013674</v>
      </c>
      <c r="D9" s="8" t="s">
        <v>3</v>
      </c>
      <c r="E9" s="1"/>
    </row>
    <row r="10" spans="1:5" ht="17.100000000000001" customHeight="1" x14ac:dyDescent="0.25">
      <c r="A10" s="1"/>
      <c r="B10" s="24" t="s">
        <v>32</v>
      </c>
      <c r="C10" s="7">
        <f>'Fane 10.1. Varige tillæg'!C18</f>
        <v>574421.14150000003</v>
      </c>
      <c r="D10" s="8" t="s">
        <v>3</v>
      </c>
      <c r="E10" s="1"/>
    </row>
    <row r="11" spans="1:5" ht="17.100000000000001" customHeight="1" x14ac:dyDescent="0.25">
      <c r="A11" s="1"/>
      <c r="B11" s="24" t="s">
        <v>33</v>
      </c>
      <c r="C11" s="9">
        <f>'Fane 10.1. Varige tillæg'!E18</f>
        <v>921337.58130000008</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1313187.5005892466</v>
      </c>
      <c r="D16" s="8" t="s">
        <v>3</v>
      </c>
      <c r="E16" s="1"/>
    </row>
    <row r="17" spans="1:5" ht="17.100000000000001" customHeight="1" x14ac:dyDescent="0.25">
      <c r="A17" s="1"/>
      <c r="B17" s="24" t="s">
        <v>9</v>
      </c>
      <c r="C17" s="9">
        <f>-SUM(C9:C16)*'Fane 5. Individuelt eff. krav'!C9</f>
        <v>-118382.09698951666</v>
      </c>
      <c r="D17" s="8" t="s">
        <v>3</v>
      </c>
      <c r="E17" s="1"/>
    </row>
    <row r="18" spans="1:5" ht="17.100000000000001" customHeight="1" x14ac:dyDescent="0.25">
      <c r="A18" s="1"/>
      <c r="B18" s="24" t="s">
        <v>21</v>
      </c>
      <c r="C18" s="9">
        <f>-'Fane 4.1. Gen. krav - drift'!C17</f>
        <v>-212427.49744963204</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20789127.537963774</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10718829.109814638</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62748.518139719999</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-351.719851900886</v>
      </c>
      <c r="D27" s="8" t="s">
        <v>3</v>
      </c>
      <c r="E27" s="1"/>
    </row>
    <row r="28" spans="1:5" x14ac:dyDescent="0.25">
      <c r="A28" s="1"/>
      <c r="B28" s="74" t="s">
        <v>40</v>
      </c>
      <c r="C28" s="50">
        <f>SUM(C24:C27)</f>
        <v>62396.798287819111</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31570353.446066234</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BD8UjH5z8uKLNchhD944h9rdFEU3ATkDRsxDFrnIwESG9FC4c62zLdnjL/A/SQniv0dPoHPTyPmE/fVNQZo9TA==" saltValue="xfKKqVwBmA48abOv/G72m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129</v>
      </c>
      <c r="C3" s="95"/>
      <c r="D3" s="95"/>
      <c r="E3" s="1"/>
    </row>
    <row r="4" spans="1:5" ht="15" customHeight="1" x14ac:dyDescent="0.25">
      <c r="A4" s="1"/>
      <c r="B4" s="95"/>
      <c r="C4" s="95"/>
      <c r="D4" s="95"/>
      <c r="E4" s="1"/>
    </row>
    <row r="5" spans="1:5" x14ac:dyDescent="0.25">
      <c r="A5" s="1"/>
      <c r="B5" s="96"/>
      <c r="C5" s="96"/>
      <c r="D5" s="96"/>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20789127.537963774</v>
      </c>
      <c r="D9" s="8" t="s">
        <v>3</v>
      </c>
      <c r="E9" s="1"/>
    </row>
    <row r="10" spans="1:5" ht="15" customHeight="1" x14ac:dyDescent="0.25">
      <c r="A10" s="1"/>
      <c r="B10" s="47" t="s">
        <v>17</v>
      </c>
      <c r="C10" s="41">
        <f>C9*'Fane 13. Nøgletal'!C11</f>
        <v>1378319.1557669982</v>
      </c>
      <c r="D10" s="8" t="s">
        <v>3</v>
      </c>
      <c r="E10" s="1"/>
    </row>
    <row r="11" spans="1:5" ht="15" customHeight="1" x14ac:dyDescent="0.25">
      <c r="A11" s="1"/>
      <c r="B11" s="47" t="s">
        <v>9</v>
      </c>
      <c r="C11" s="9">
        <f>-SUM(C9:C10)*'Fane 5. Individuelt eff. krav'!C9</f>
        <v>-124253.62860010582</v>
      </c>
      <c r="D11" s="8" t="s">
        <v>3</v>
      </c>
      <c r="E11" s="1"/>
    </row>
    <row r="12" spans="1:5" ht="15" customHeight="1" x14ac:dyDescent="0.25">
      <c r="A12" s="1"/>
      <c r="B12" s="47" t="s">
        <v>21</v>
      </c>
      <c r="C12" s="9">
        <f>-'Fane 4.1. Gen. krav - drift'!C22</f>
        <v>-221981.21171993177</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21821211.853410736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11429487.47979535</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33250699.333206087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0dFpS2TD0ImbXEBI2qrIVPwtfyg1XInO8fkK3WrlvdOugWu3FBiBJy2p6lpzg1EeSuE9JNA6hQTfV0EKgkLXg==" saltValue="q8FKtG3X790casjGF6ps2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130</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21821211.853410736</v>
      </c>
      <c r="D9" s="8" t="s">
        <v>3</v>
      </c>
      <c r="E9" s="1"/>
    </row>
    <row r="10" spans="1:5" ht="15" customHeight="1" x14ac:dyDescent="0.25">
      <c r="A10" s="1"/>
      <c r="B10" s="47" t="s">
        <v>17</v>
      </c>
      <c r="C10" s="41">
        <f>C9*'Fane 13. Nøgletal'!C11</f>
        <v>1446746.3458811317</v>
      </c>
      <c r="D10" s="8" t="s">
        <v>3</v>
      </c>
      <c r="E10" s="1"/>
    </row>
    <row r="11" spans="1:5" ht="15" customHeight="1" x14ac:dyDescent="0.25">
      <c r="A11" s="1"/>
      <c r="B11" s="47" t="s">
        <v>9</v>
      </c>
      <c r="C11" s="9">
        <f>-SUM(C9:C10)*'Fane 5. Individuelt eff. krav'!C9</f>
        <v>-130422.24827793294</v>
      </c>
      <c r="D11" s="8" t="s">
        <v>3</v>
      </c>
      <c r="E11" s="1"/>
    </row>
    <row r="12" spans="1:5" ht="15" customHeight="1" x14ac:dyDescent="0.25">
      <c r="A12" s="1"/>
      <c r="B12" s="47" t="s">
        <v>21</v>
      </c>
      <c r="C12" s="9">
        <f>-'Fane 4.1. Gen. krav - drift'!C27</f>
        <v>-231964.59473582398</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22905571.35627811</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12187262.49970578</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35092833.855983891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TNH3hjqK+eLJQWoEMFKYdf9/9wMrRL1fyEvBwTe81vSfDk6cdn4J/+mThRbUs77S3gg8opwKrY7g2A7/W3n/A==" saltValue="bDy9KoK3b+y+q05/UvoTx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131</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22905571.35627811</v>
      </c>
      <c r="D9" s="8" t="s">
        <v>3</v>
      </c>
      <c r="E9" s="1"/>
    </row>
    <row r="10" spans="1:5" ht="15" customHeight="1" x14ac:dyDescent="0.25">
      <c r="A10" s="1"/>
      <c r="B10" s="47" t="s">
        <v>17</v>
      </c>
      <c r="C10" s="9">
        <f>C9*'Fane 13. Nøgletal'!C11</f>
        <v>1518639.3809212386</v>
      </c>
      <c r="D10" s="8" t="s">
        <v>3</v>
      </c>
      <c r="E10" s="1"/>
    </row>
    <row r="11" spans="1:5" ht="15" customHeight="1" x14ac:dyDescent="0.25">
      <c r="A11" s="1"/>
      <c r="B11" s="47" t="s">
        <v>9</v>
      </c>
      <c r="C11" s="9">
        <f>-SUM(C9:C10)*'Fane 5. Individuelt eff. krav'!C9</f>
        <v>-136903.30924079599</v>
      </c>
      <c r="D11" s="8" t="s">
        <v>3</v>
      </c>
      <c r="E11" s="1"/>
    </row>
    <row r="12" spans="1:5" ht="15" customHeight="1" x14ac:dyDescent="0.25">
      <c r="A12" s="1"/>
      <c r="B12" s="47" t="s">
        <v>21</v>
      </c>
      <c r="C12" s="9">
        <f>-'Fane 4.1. Gen. krav - drift'!C32</f>
        <v>-242396.97041947296</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24044910.457539078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12995278.003436275</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37040188.460975349</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BHS9dZ5N7e+/UdxeObRN3Yp7+dCwlHFHtxKJ6MUglcl8Q2Rxz6Fmspz0FmgZFqYJI6fnm8Jgi2Acxn+Xi8daA==" saltValue="y1X/AVowvipQl79XErWCA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7" t="s">
        <v>134</v>
      </c>
      <c r="C3" s="97"/>
      <c r="D3" s="97"/>
      <c r="E3" s="1"/>
    </row>
    <row r="4" spans="1:5" ht="15" customHeight="1" x14ac:dyDescent="0.25">
      <c r="A4" s="1"/>
      <c r="B4" s="97"/>
      <c r="C4" s="97"/>
      <c r="D4" s="97"/>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18201703.645300314</v>
      </c>
      <c r="D9" s="8" t="s">
        <v>3</v>
      </c>
      <c r="E9" s="1"/>
    </row>
    <row r="10" spans="1:5" x14ac:dyDescent="0.25">
      <c r="A10" s="1"/>
      <c r="B10" s="24" t="s">
        <v>32</v>
      </c>
      <c r="C10" s="7">
        <v>0</v>
      </c>
      <c r="D10" s="8" t="s">
        <v>3</v>
      </c>
      <c r="E10" s="1"/>
    </row>
    <row r="11" spans="1:5" ht="15" customHeight="1" x14ac:dyDescent="0.25">
      <c r="A11" s="1"/>
      <c r="B11" s="24" t="s">
        <v>33</v>
      </c>
      <c r="C11" s="9">
        <v>28193.759607999997</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650258.70554901764</v>
      </c>
      <c r="D16" s="8" t="s">
        <v>3</v>
      </c>
      <c r="E16" s="1"/>
    </row>
    <row r="17" spans="1:5" x14ac:dyDescent="0.25">
      <c r="A17" s="1"/>
      <c r="B17" s="24" t="s">
        <v>9</v>
      </c>
      <c r="C17" s="9">
        <v>-377603.12220914662</v>
      </c>
      <c r="D17" s="8" t="s">
        <v>3</v>
      </c>
      <c r="E17" s="1"/>
    </row>
    <row r="18" spans="1:5" x14ac:dyDescent="0.25">
      <c r="A18" s="1"/>
      <c r="B18" s="24" t="s">
        <v>21</v>
      </c>
      <c r="C18" s="9">
        <v>-191562.07923451014</v>
      </c>
      <c r="D18" s="8" t="s">
        <v>3</v>
      </c>
      <c r="E18" s="1"/>
    </row>
    <row r="19" spans="1:5" x14ac:dyDescent="0.25">
      <c r="A19" s="1"/>
      <c r="B19" s="24" t="s">
        <v>22</v>
      </c>
      <c r="C19" s="9">
        <v>0</v>
      </c>
      <c r="D19" s="8" t="s">
        <v>3</v>
      </c>
      <c r="E19" s="1"/>
    </row>
    <row r="20" spans="1:5" x14ac:dyDescent="0.25">
      <c r="A20" s="1"/>
      <c r="B20" s="74" t="s">
        <v>19</v>
      </c>
      <c r="C20" s="10">
        <v>18310990.909013674</v>
      </c>
      <c r="D20" s="11" t="s">
        <v>3</v>
      </c>
      <c r="E20" s="1"/>
    </row>
    <row r="21" spans="1:5" x14ac:dyDescent="0.25">
      <c r="A21" s="1"/>
      <c r="B21" s="52" t="s">
        <v>11</v>
      </c>
      <c r="C21" s="53"/>
      <c r="D21" s="19"/>
      <c r="E21" s="1"/>
    </row>
    <row r="22" spans="1:5" x14ac:dyDescent="0.25">
      <c r="A22" s="1"/>
      <c r="B22" s="54" t="s">
        <v>11</v>
      </c>
      <c r="C22" s="10">
        <v>11802411.99493888</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6410.6899763199999</v>
      </c>
      <c r="D25" s="8" t="s">
        <v>3</v>
      </c>
      <c r="E25" s="1"/>
    </row>
    <row r="26" spans="1:5" ht="14.25" customHeight="1" x14ac:dyDescent="0.25">
      <c r="A26" s="1"/>
      <c r="B26" s="24" t="s">
        <v>79</v>
      </c>
      <c r="C26" s="9">
        <v>0</v>
      </c>
      <c r="D26" s="8" t="s">
        <v>3</v>
      </c>
      <c r="E26" s="1"/>
    </row>
    <row r="27" spans="1:5" ht="14.25" customHeight="1" x14ac:dyDescent="0.25">
      <c r="A27" s="1"/>
      <c r="B27" s="24" t="s">
        <v>80</v>
      </c>
      <c r="C27" s="9">
        <v>-128.21379952640001</v>
      </c>
      <c r="D27" s="8" t="s">
        <v>3</v>
      </c>
      <c r="E27" s="1"/>
    </row>
    <row r="28" spans="1:5" ht="14.25" customHeight="1" x14ac:dyDescent="0.25">
      <c r="A28" s="1"/>
      <c r="B28" s="74" t="s">
        <v>40</v>
      </c>
      <c r="C28" s="63">
        <v>6282.4761767935997</v>
      </c>
      <c r="D28" s="11" t="s">
        <v>3</v>
      </c>
      <c r="E28" s="1"/>
    </row>
    <row r="29" spans="1:5" x14ac:dyDescent="0.25">
      <c r="A29" s="1"/>
      <c r="B29" s="25" t="s">
        <v>65</v>
      </c>
      <c r="C29" s="53"/>
      <c r="D29" s="19"/>
      <c r="E29" s="1"/>
    </row>
    <row r="30" spans="1:5" x14ac:dyDescent="0.25">
      <c r="A30" s="1"/>
      <c r="B30" s="58" t="s">
        <v>66</v>
      </c>
      <c r="C30" s="10">
        <v>71676</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25" t="s">
        <v>193</v>
      </c>
      <c r="C33" s="53"/>
      <c r="D33" s="19"/>
      <c r="E33" s="1"/>
    </row>
    <row r="34" spans="1:5" ht="15.6" customHeight="1" x14ac:dyDescent="0.25">
      <c r="A34" s="1"/>
      <c r="B34" s="58" t="s">
        <v>194</v>
      </c>
      <c r="C34" s="10">
        <v>699278.59971026541</v>
      </c>
      <c r="D34" s="11" t="s">
        <v>3</v>
      </c>
      <c r="E34" s="1"/>
    </row>
    <row r="35" spans="1:5" ht="15.6" customHeight="1" x14ac:dyDescent="0.25">
      <c r="A35" s="1"/>
      <c r="B35" s="52" t="s">
        <v>67</v>
      </c>
      <c r="C35" s="29">
        <v>30890639.979839616</v>
      </c>
      <c r="D35" s="19" t="s">
        <v>3</v>
      </c>
      <c r="E35" s="1"/>
    </row>
    <row r="36" spans="1:5" ht="30" customHeight="1" x14ac:dyDescent="0.25">
      <c r="A36" s="1"/>
      <c r="B36" s="98" t="s">
        <v>195</v>
      </c>
      <c r="C36" s="98"/>
      <c r="D36" s="98"/>
      <c r="E36" s="1"/>
    </row>
    <row r="37" spans="1:5" ht="27.75" customHeight="1"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DsDfFNFPiUj/DO9Wp4hxmnvR5Dyyga6N+WF+fSRrLo0lYkuq1CyHIwkSV20DnxraTGmJN7SBYnle6DhmwExgtQ==" saltValue="Vop2fyo1PxjQpoBxHOfz4A=="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7" t="s">
        <v>53</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8"/>
      <c r="C6" s="68"/>
      <c r="D6" s="68"/>
      <c r="E6" s="1"/>
    </row>
    <row r="7" spans="1:5" x14ac:dyDescent="0.25">
      <c r="A7" s="1"/>
      <c r="B7" s="1"/>
      <c r="C7" s="32"/>
      <c r="D7" s="1"/>
      <c r="E7" s="1"/>
    </row>
    <row r="8" spans="1:5" x14ac:dyDescent="0.25">
      <c r="A8" s="1"/>
      <c r="B8" s="99" t="s">
        <v>75</v>
      </c>
      <c r="C8" s="100"/>
      <c r="D8" s="101"/>
      <c r="E8" s="1"/>
    </row>
    <row r="9" spans="1:5" x14ac:dyDescent="0.25">
      <c r="A9" s="1"/>
      <c r="B9" s="56" t="s">
        <v>167</v>
      </c>
      <c r="C9" s="22">
        <v>9578103.9617255088</v>
      </c>
      <c r="D9" s="14" t="s">
        <v>3</v>
      </c>
      <c r="E9" s="1"/>
    </row>
    <row r="10" spans="1:5" x14ac:dyDescent="0.25">
      <c r="A10" s="1"/>
      <c r="B10" s="56" t="s">
        <v>110</v>
      </c>
      <c r="C10" s="61">
        <f>('Fane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191562.07923451017</v>
      </c>
      <c r="D11" s="14" t="s">
        <v>3</v>
      </c>
      <c r="E11" s="1"/>
    </row>
    <row r="12" spans="1:5" x14ac:dyDescent="0.25">
      <c r="A12" s="1"/>
      <c r="B12" s="52"/>
      <c r="C12" s="31"/>
      <c r="D12" s="19"/>
      <c r="E12" s="1"/>
    </row>
    <row r="13" spans="1:5" x14ac:dyDescent="0.25">
      <c r="A13" s="1"/>
      <c r="B13" s="1"/>
      <c r="C13" s="32"/>
      <c r="D13" s="1"/>
      <c r="E13" s="1"/>
    </row>
    <row r="14" spans="1:5" x14ac:dyDescent="0.25">
      <c r="A14" s="1"/>
      <c r="B14" s="99" t="s">
        <v>153</v>
      </c>
      <c r="C14" s="100"/>
      <c r="D14" s="101"/>
      <c r="E14" s="1"/>
    </row>
    <row r="15" spans="1:5" x14ac:dyDescent="0.25">
      <c r="A15" s="1"/>
      <c r="B15" s="56" t="s">
        <v>168</v>
      </c>
      <c r="C15" s="22">
        <f>(C9+C10-C11)*(1+'Fane 13. Nøgletal'!C11)</f>
        <v>10008869.609300151</v>
      </c>
      <c r="D15" s="14" t="s">
        <v>3</v>
      </c>
      <c r="E15" s="1"/>
    </row>
    <row r="16" spans="1:5" x14ac:dyDescent="0.25">
      <c r="A16" s="1"/>
      <c r="B16" s="56" t="s">
        <v>154</v>
      </c>
      <c r="C16" s="22">
        <f>('Fane 2.1. Økonomisk ramme 2025'!C10+'Fane 2.1. Økonomisk ramme 2025'!C12+'Fane 2.1. Økonomisk ramme 2025'!C14)*(1+'Fane 13. Nøgletal'!C11)</f>
        <v>612505.26318145008</v>
      </c>
      <c r="D16" s="14" t="s">
        <v>3</v>
      </c>
      <c r="E16" s="1"/>
    </row>
    <row r="17" spans="1:5" x14ac:dyDescent="0.25">
      <c r="A17" s="1"/>
      <c r="B17" s="56" t="s">
        <v>155</v>
      </c>
      <c r="C17" s="22">
        <f>(C15+C16)*'Fane 13. Nøgletal'!C23</f>
        <v>212427.49744963204</v>
      </c>
      <c r="D17" s="14" t="s">
        <v>3</v>
      </c>
      <c r="E17" s="1"/>
    </row>
    <row r="18" spans="1:5" x14ac:dyDescent="0.25">
      <c r="A18" s="1"/>
      <c r="B18" s="52"/>
      <c r="C18" s="31"/>
      <c r="D18" s="19"/>
      <c r="E18" s="1"/>
    </row>
    <row r="19" spans="1:5" x14ac:dyDescent="0.25">
      <c r="A19" s="1"/>
      <c r="B19" s="1"/>
      <c r="C19" s="32"/>
      <c r="D19" s="1"/>
      <c r="E19" s="1"/>
    </row>
    <row r="20" spans="1:5" x14ac:dyDescent="0.25">
      <c r="A20" s="1"/>
      <c r="B20" s="99" t="s">
        <v>170</v>
      </c>
      <c r="C20" s="100"/>
      <c r="D20" s="101"/>
      <c r="E20" s="1"/>
    </row>
    <row r="21" spans="1:5" x14ac:dyDescent="0.25">
      <c r="A21" s="1"/>
      <c r="B21" s="56" t="s">
        <v>169</v>
      </c>
      <c r="C21" s="48">
        <f>(C15+C16-C17)*(1+'Fane 13. Nøgletal'!C11)</f>
        <v>11099060.585996589</v>
      </c>
      <c r="D21" s="14" t="s">
        <v>3</v>
      </c>
      <c r="E21" s="1"/>
    </row>
    <row r="22" spans="1:5" x14ac:dyDescent="0.25">
      <c r="A22" s="1"/>
      <c r="B22" s="56" t="s">
        <v>171</v>
      </c>
      <c r="C22" s="48">
        <f>(C21)*'Fane 13. Nøgletal'!C23</f>
        <v>221981.21171993177</v>
      </c>
      <c r="D22" s="14" t="s">
        <v>3</v>
      </c>
      <c r="E22" s="1"/>
    </row>
    <row r="23" spans="1:5" x14ac:dyDescent="0.25">
      <c r="A23" s="1"/>
      <c r="B23" s="52"/>
      <c r="C23" s="31"/>
      <c r="D23" s="19"/>
      <c r="E23" s="1"/>
    </row>
    <row r="24" spans="1:5" x14ac:dyDescent="0.25">
      <c r="A24" s="1"/>
      <c r="B24" s="1"/>
      <c r="C24" s="32"/>
      <c r="D24" s="1"/>
      <c r="E24" s="1"/>
    </row>
    <row r="25" spans="1:5" x14ac:dyDescent="0.25">
      <c r="A25" s="1"/>
      <c r="B25" s="99" t="s">
        <v>116</v>
      </c>
      <c r="C25" s="100"/>
      <c r="D25" s="101"/>
      <c r="E25" s="1"/>
    </row>
    <row r="26" spans="1:5" x14ac:dyDescent="0.25">
      <c r="A26" s="1"/>
      <c r="B26" s="56" t="s">
        <v>117</v>
      </c>
      <c r="C26" s="48">
        <f>(C21-C22)*(1+'Fane 13. Nøgletal'!C11)</f>
        <v>11598229.736791199</v>
      </c>
      <c r="D26" s="14" t="s">
        <v>3</v>
      </c>
      <c r="E26" s="1"/>
    </row>
    <row r="27" spans="1:5" x14ac:dyDescent="0.25">
      <c r="A27" s="1"/>
      <c r="B27" s="56" t="s">
        <v>118</v>
      </c>
      <c r="C27" s="48">
        <f>(C26)*'Fane 13. Nøgletal'!C23</f>
        <v>231964.59473582398</v>
      </c>
      <c r="D27" s="14" t="s">
        <v>3</v>
      </c>
      <c r="E27" s="1"/>
    </row>
    <row r="28" spans="1:5" x14ac:dyDescent="0.25">
      <c r="A28" s="1"/>
      <c r="B28" s="52"/>
      <c r="C28" s="42"/>
      <c r="D28" s="19"/>
      <c r="E28" s="1"/>
    </row>
    <row r="29" spans="1:5" x14ac:dyDescent="0.25">
      <c r="A29" s="1"/>
      <c r="B29" s="1"/>
      <c r="C29" s="32"/>
      <c r="D29" s="1"/>
      <c r="E29" s="1"/>
    </row>
    <row r="30" spans="1:5" x14ac:dyDescent="0.25">
      <c r="A30" s="1"/>
      <c r="B30" s="99" t="s">
        <v>136</v>
      </c>
      <c r="C30" s="100"/>
      <c r="D30" s="101"/>
      <c r="E30" s="1"/>
    </row>
    <row r="31" spans="1:5" x14ac:dyDescent="0.25">
      <c r="A31" s="1"/>
      <c r="B31" s="56" t="s">
        <v>137</v>
      </c>
      <c r="C31" s="48">
        <f>(C26-C27)*(1+'Fane 13. Nøgletal'!C11)</f>
        <v>12119848.520973647</v>
      </c>
      <c r="D31" s="14" t="s">
        <v>3</v>
      </c>
      <c r="E31" s="1"/>
    </row>
    <row r="32" spans="1:5" x14ac:dyDescent="0.25">
      <c r="A32" s="1"/>
      <c r="B32" s="56" t="s">
        <v>138</v>
      </c>
      <c r="C32" s="48">
        <f>(C31)*'Fane 13. Nøgletal'!C23</f>
        <v>242396.97041947296</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IwAPscUWT8H96dU5iSvReDMuc9lrWClZDA9cRYN7wX9jZjAakm7W2y1SzkrW30yUWbAUJ+DzXdKgoKRLNH1bMg==" saltValue="v7NbSQGUcjK8woJ1RqdH7A=="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2" t="s">
        <v>54</v>
      </c>
      <c r="C3" s="103"/>
      <c r="D3" s="103"/>
      <c r="E3" s="1"/>
    </row>
    <row r="4" spans="1:5" ht="15" customHeight="1" x14ac:dyDescent="0.25">
      <c r="A4" s="1"/>
      <c r="B4" s="103"/>
      <c r="C4" s="103"/>
      <c r="D4" s="103"/>
      <c r="E4" s="1"/>
    </row>
    <row r="5" spans="1:5" ht="15" customHeight="1" x14ac:dyDescent="0.25">
      <c r="A5" s="1"/>
      <c r="B5" s="103"/>
      <c r="C5" s="103"/>
      <c r="D5" s="103"/>
      <c r="E5" s="1"/>
    </row>
    <row r="6" spans="1:5" ht="15" customHeight="1" x14ac:dyDescent="0.25">
      <c r="A6" s="1"/>
      <c r="B6" s="1"/>
      <c r="C6" s="1"/>
      <c r="D6" s="1"/>
      <c r="E6" s="1"/>
    </row>
    <row r="7" spans="1:5" ht="15" customHeight="1" x14ac:dyDescent="0.25">
      <c r="A7" s="1"/>
      <c r="B7" s="1"/>
      <c r="C7" s="1"/>
      <c r="D7" s="1"/>
      <c r="E7" s="1"/>
    </row>
    <row r="8" spans="1:5" x14ac:dyDescent="0.25">
      <c r="A8" s="1"/>
      <c r="B8" s="99" t="s">
        <v>76</v>
      </c>
      <c r="C8" s="100"/>
      <c r="D8" s="101"/>
      <c r="E8" s="1"/>
    </row>
    <row r="9" spans="1:5" x14ac:dyDescent="0.25">
      <c r="A9" s="1"/>
      <c r="B9" s="56" t="s">
        <v>162</v>
      </c>
      <c r="C9" s="48">
        <v>9997378.8311283421</v>
      </c>
      <c r="D9" s="14" t="s">
        <v>3</v>
      </c>
      <c r="E9" s="1"/>
    </row>
    <row r="10" spans="1:5" x14ac:dyDescent="0.25">
      <c r="A10" s="1"/>
      <c r="B10" s="56" t="s">
        <v>113</v>
      </c>
      <c r="C10" s="48">
        <f>('Fane 3. Omkostninger i ØR2024'!C11+'Fane 3. Omkostninger i ØR2024'!C13+'Fane 3. Omkostninger i ØR2024'!C15)*(1+'Fane 13. Nøgletal'!C10)</f>
        <v>30471.815384326397</v>
      </c>
      <c r="D10" s="14" t="s">
        <v>3</v>
      </c>
      <c r="E10" s="1"/>
    </row>
    <row r="11" spans="1:5" x14ac:dyDescent="0.25">
      <c r="A11" s="1"/>
      <c r="B11" s="56" t="s">
        <v>114</v>
      </c>
      <c r="C11" s="76">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9" t="s">
        <v>156</v>
      </c>
      <c r="C14" s="100"/>
      <c r="D14" s="101"/>
      <c r="E14" s="1"/>
    </row>
    <row r="15" spans="1:5" x14ac:dyDescent="0.25">
      <c r="A15" s="1"/>
      <c r="B15" s="56" t="s">
        <v>163</v>
      </c>
      <c r="C15" s="48">
        <f>(C9+C10-C11)*(1+'Fane 13. Nøgletal'!C11)</f>
        <v>10692697.144376459</v>
      </c>
      <c r="D15" s="14" t="s">
        <v>3</v>
      </c>
      <c r="E15" s="1"/>
    </row>
    <row r="16" spans="1:5" x14ac:dyDescent="0.25">
      <c r="A16" s="1"/>
      <c r="B16" s="56" t="s">
        <v>157</v>
      </c>
      <c r="C16" s="48">
        <f>('Fane 2.1. Økonomisk ramme 2025'!C11+'Fane 2.1. Økonomisk ramme 2025'!C13+'Fane 2.1. Økonomisk ramme 2025'!C15)*(1+'Fane 13. Nøgletal'!C11)</f>
        <v>982422.26294019015</v>
      </c>
      <c r="D16" s="14" t="s">
        <v>3</v>
      </c>
      <c r="E16" s="1"/>
    </row>
    <row r="17" spans="1:5" x14ac:dyDescent="0.25">
      <c r="A17" s="1"/>
      <c r="B17" s="56" t="s">
        <v>158</v>
      </c>
      <c r="C17" s="76">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9" t="s">
        <v>166</v>
      </c>
      <c r="C20" s="100"/>
      <c r="D20" s="101"/>
      <c r="E20" s="1"/>
    </row>
    <row r="21" spans="1:5" x14ac:dyDescent="0.25">
      <c r="A21" s="1"/>
      <c r="B21" s="56" t="s">
        <v>164</v>
      </c>
      <c r="C21" s="48">
        <f>(C15+C16-C17)*(1+'Fane 13. Nøgletal'!C11)</f>
        <v>12449179.824021744</v>
      </c>
      <c r="D21" s="14" t="s">
        <v>3</v>
      </c>
      <c r="E21" s="1"/>
    </row>
    <row r="22" spans="1:5" x14ac:dyDescent="0.25">
      <c r="A22" s="1"/>
      <c r="B22" s="56" t="s">
        <v>165</v>
      </c>
      <c r="C22" s="76">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9" t="s">
        <v>119</v>
      </c>
      <c r="C25" s="100"/>
      <c r="D25" s="101"/>
      <c r="E25" s="1"/>
    </row>
    <row r="26" spans="1:5" x14ac:dyDescent="0.25">
      <c r="A26" s="1"/>
      <c r="B26" s="56" t="s">
        <v>120</v>
      </c>
      <c r="C26" s="48">
        <f>(C21-C22)*(1+'Fane 13. Nøgletal'!C11)</f>
        <v>13274560.446354385</v>
      </c>
      <c r="D26" s="14" t="s">
        <v>3</v>
      </c>
      <c r="E26" s="1"/>
    </row>
    <row r="27" spans="1:5" x14ac:dyDescent="0.25">
      <c r="A27" s="1"/>
      <c r="B27" s="56" t="s">
        <v>121</v>
      </c>
      <c r="C27" s="76">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9" t="s">
        <v>139</v>
      </c>
      <c r="C30" s="100"/>
      <c r="D30" s="101"/>
      <c r="E30" s="1"/>
    </row>
    <row r="31" spans="1:5" x14ac:dyDescent="0.25">
      <c r="A31" s="1"/>
      <c r="B31" s="56" t="s">
        <v>140</v>
      </c>
      <c r="C31" s="48">
        <f>(C26-C27)*(1+'Fane 13. Nøgletal'!C11)</f>
        <v>14154663.803947682</v>
      </c>
      <c r="D31" s="14" t="s">
        <v>3</v>
      </c>
      <c r="E31" s="1"/>
    </row>
    <row r="32" spans="1:5" x14ac:dyDescent="0.25">
      <c r="A32" s="1"/>
      <c r="B32" s="56" t="s">
        <v>141</v>
      </c>
      <c r="C32" s="76">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z3ZbdchzN3U6JTZiTYIvvKkDJHdg+8p1hKNacuMTwzSJmwUcUP5LK6n4hax8iRVr8KzJbJnvQEWbwWBpsak1A==" saltValue="GLNnt/XE2wefH5KQ6Y/kp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5" t="s">
        <v>41</v>
      </c>
      <c r="C3" s="95"/>
      <c r="D3" s="1"/>
    </row>
    <row r="4" spans="1:4" ht="15" customHeight="1" x14ac:dyDescent="0.25">
      <c r="A4" s="1"/>
      <c r="B4" s="95"/>
      <c r="C4" s="9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9" t="s">
        <v>9</v>
      </c>
      <c r="C8" s="101"/>
      <c r="D8" s="1"/>
    </row>
    <row r="9" spans="1:4" x14ac:dyDescent="0.25">
      <c r="A9" s="1"/>
      <c r="B9" s="56" t="s">
        <v>160</v>
      </c>
      <c r="C9" s="44">
        <v>5.6052296106455183E-3</v>
      </c>
      <c r="D9" s="1"/>
    </row>
    <row r="10" spans="1:4" x14ac:dyDescent="0.25">
      <c r="A10" s="1"/>
      <c r="B10" s="52"/>
      <c r="C10" s="19"/>
      <c r="D10" s="1"/>
    </row>
    <row r="11" spans="1:4" ht="15" customHeight="1" x14ac:dyDescent="0.25">
      <c r="A11" s="1"/>
      <c r="B11" s="104" t="s">
        <v>161</v>
      </c>
      <c r="C11" s="105"/>
      <c r="D11" s="1"/>
    </row>
    <row r="12" spans="1:4" ht="13.5" customHeight="1" x14ac:dyDescent="0.25">
      <c r="A12" s="1"/>
      <c r="B12" s="106"/>
      <c r="C12" s="10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XwPE9IkpIDrBnwebDO6nNs5vZlTdp4jngm8jYfmBmDM4uZvedu4Ad6Nhl58HxTdPMtO/vMygKV9J36JeXPctrA==" saltValue="7wkiGQsRSex8oF52gsxmL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2024-09-05T07:15:56Z</dcterms:modified>
</cp:coreProperties>
</file>