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Midtfyns Vandforsyning A.m.b.A. (V133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4" i="15"/>
  <c r="C30" i="2"/>
  <c r="C13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2" i="37" s="1"/>
  <c r="C13" i="37" s="1"/>
  <c r="C12" i="2" s="1"/>
  <c r="E11" i="21"/>
  <c r="E12" i="21" s="1"/>
  <c r="C11" i="21"/>
  <c r="C12" i="21" s="1"/>
  <c r="E11" i="29"/>
  <c r="E12" i="29" s="1"/>
  <c r="C14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2" i="37" s="1"/>
  <c r="E13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<sst xmlns="http://schemas.openxmlformats.org/spreadsheetml/2006/main" count="618" uniqueCount="253">
  <si>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</si>
  <si>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</si>
  <si>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</si>
  <si>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</si>
  <si>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</si>
  <si>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</si>
  <si>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</si>
  <si>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</si>
  <si>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</si>
  <si>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</si>
  <si>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</si>
  <si>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</si>
  <si>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</si>
  <si>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</si>
  <si>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</si>
  <si>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</si>
  <si>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</si>
  <si>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</si>
  <si>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</si>
  <si>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</si>
  <si>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</si>
  <si>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</si>
  <si>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</si>
  <si>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</si>
  <si>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</si>
  <si>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</si>
  <si>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</si>
  <si>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</si>
  <si>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</si>
  <si>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</si>
  <si>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</si>
  <si>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</si>
  <si>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</si>
  <si>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</si>
  <si>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</si>
  <si>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</si>
  <si>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</si>
  <si>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</si>
  <si>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</si>
  <si>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</si>
  <si>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</si>
  <si>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</si>
  <si>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</si>
  <si>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</si>
  <si>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</si>
  <si>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</si>
  <si>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</si>
  <si>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</si>
  <si>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</si>
  <si>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</si>
  <si>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</si>
  <si>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</si>
  <si>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</si>
  <si>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</si>
  <si>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</si>
  <si>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</si>
  <si>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</si>
  <si>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</si>
  <si>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</si>
  <si>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</si>
  <si>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</si>
  <si>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</si>
  <si>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</si>
  <si>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</si>
  <si>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</si>
  <si>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</si>
  <si>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</si>
  <si>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</si>
  <si>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</si>
  <si>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</si>
  <si>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</si>
  <si>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</si>
  <si>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</si>
  <si>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</si>
  <si>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</si>
  <si>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</si>
  <si>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</si>
  <si>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</si>
  <si>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</si>
  <si>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</si>
  <si>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</si>
  <si>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</si>
  <si>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</si>
  <si>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</si>
  <si>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</si>
  <si>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</si>
  <si>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</si>
  <si>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</si>
  <si>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</si>
  <si>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</si>
  <si>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</si>
  <si>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</si>
  <si>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</si>
  <si>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</si>
  <si>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</si>
  <si>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</si>
  <si>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</si>
  <si>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</si>
  <si>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</si>
  <si>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</si>
  <si>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</si>
  <si>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</si>
  <si>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</si>
  <si>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</si>
  <si>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</si>
  <si>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</si>
  <si>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</si>
  <si>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</si>
  <si>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</si>
  <si>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</si>
  <si>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</si>
  <si>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</si>
  <si>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</si>
  <si>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</si>
  <si>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</si>
  <si>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</si>
  <si>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</si>
  <si>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</si>
  <si>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</si>
  <si>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</si>
  <si>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</si>
  <si>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</si>
  <si>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</si>
  <si>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</si>
  <si>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</si>
  <si>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</si>
  <si>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</si>
  <si>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</si>
  <si>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</si>
  <si>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</si>
  <si>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</si>
  <si>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</si>
  <si>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</si>
  <si>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</si>
  <si>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</si>
  <si>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</si>
  <si>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</si>
  <si>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</si>
  <si>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</si>
  <si>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</si>
  <si>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</si>
  <si>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</si>
  <si>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</si>
  <si>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</si>
  <si>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</si>
  <si>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</si>
  <si>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</si>
  <si>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</si>
  <si>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</si>
  <si>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</si>
  <si>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</si>
  <si>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</si>
  <si>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</si>
  <si>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</si>
  <si>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</si>
  <si>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</si>
  <si>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</si>
  <si>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</si>
  <si>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</si>
  <si>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</si>
  <si>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</si>
  <si>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</si>
  <si>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</si>
  <si>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</si>
  <si>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</si>
  <si>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</si>
  <si>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</si>
  <si>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</si>
  <si>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</si>
  <si>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</si>
  <si>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</si>
  <si>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</si>
  <si>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</si>
  <si>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</si>
  <si>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</si>
  <si>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</si>
  <si>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</si>
  <si>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</si>
  <si>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</si>
  <si>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</si>
  <si>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</si>
  <si>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</si>
  <si>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</si>
  <si>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</si>
  <si>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</si>
  <si>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</si>
  <si>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</si>
  <si>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</si>
  <si>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</si>
  <si>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</si>
  <si>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</si>
  <si>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</si>
  <si>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</si>
  <si>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</si>
  <si>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</si>
  <si>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</si>
  <si>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</si>
  <si>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</si>
  <si>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</si>
  <si>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</si>
  <si>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</si>
  <si>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</si>
  <si>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</si>
  <si>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</si>
  <si>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</si>
  <si>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</si>
  <si>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</si>
  <si>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</si>
  <si>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</si>
  <si>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</si>
  <si>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</si>
  <si>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</si>
  <si>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</si>
  <si>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</si>
  <si>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</si>
  <si>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</si>
  <si>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</si>
  <si>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</si>
  <si>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</si>
  <si>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</si>
  <si>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</si>
  <si>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</si>
  <si>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</si>
  <si>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</si>
  <si>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</si>
  <si>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</si>
  <si>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</si>
  <si>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Udvidelse af forsyiningsområdet</t>
  </si>
  <si>
    <t>Ingen tilknyttet virksomhed</t>
  </si>
  <si>
    <t>Afgift for ledningsført vand</t>
  </si>
  <si>
    <t>Afgift til Forsyningssekretariatet</t>
  </si>
  <si>
    <t>Ejendomsskat</t>
  </si>
  <si>
    <t>Ingen engangstillæg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</si>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</sst>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>
        <row r="3">
          <cell r="A3" t="str">
            <v>S016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2" t="s">
        <v>4</v>
      </c>
      <c r="E6" s="82"/>
      <c r="F6" s="82"/>
      <c r="G6" s="82"/>
      <c r="H6" s="3"/>
      <c r="I6" s="1"/>
    </row>
    <row r="7" spans="1:9" ht="15" customHeight="1" x14ac:dyDescent="0.25">
      <c r="A7" s="1"/>
      <c r="B7" s="1"/>
      <c r="C7" s="3"/>
      <c r="D7" s="82"/>
      <c r="E7" s="82"/>
      <c r="F7" s="82"/>
      <c r="G7" s="82"/>
      <c r="H7" s="3"/>
      <c r="I7" s="1"/>
    </row>
    <row r="8" spans="1:9" ht="15.75" x14ac:dyDescent="0.25">
      <c r="A8" s="1"/>
      <c r="B8" s="1"/>
      <c r="C8" s="4"/>
      <c r="D8" s="84" t="s">
        <v>180</v>
      </c>
      <c r="E8" s="84"/>
      <c r="F8" s="84"/>
      <c r="G8" s="8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3" t="s">
        <v>5</v>
      </c>
      <c r="E11" s="83"/>
      <c r="F11" s="83"/>
      <c r="G11" s="8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9" t="s">
        <v>163</v>
      </c>
      <c r="E13" s="80"/>
      <c r="F13" s="80"/>
      <c r="G13" s="81"/>
      <c r="H13" s="1"/>
      <c r="I13" s="1"/>
    </row>
    <row r="14" spans="1:9" x14ac:dyDescent="0.25">
      <c r="A14" s="1"/>
      <c r="B14" s="1"/>
      <c r="C14" s="6" t="s">
        <v>15</v>
      </c>
      <c r="D14" s="79" t="s">
        <v>83</v>
      </c>
      <c r="E14" s="80"/>
      <c r="F14" s="80"/>
      <c r="G14" s="81"/>
      <c r="H14" s="1"/>
      <c r="I14" s="1"/>
    </row>
    <row r="15" spans="1:9" x14ac:dyDescent="0.25">
      <c r="A15" s="1"/>
      <c r="B15" s="1"/>
      <c r="C15" s="6" t="s">
        <v>35</v>
      </c>
      <c r="D15" s="79" t="s">
        <v>128</v>
      </c>
      <c r="E15" s="80"/>
      <c r="F15" s="80"/>
      <c r="G15" s="81"/>
      <c r="H15" s="1"/>
      <c r="I15" s="1"/>
    </row>
    <row r="16" spans="1:9" x14ac:dyDescent="0.25">
      <c r="A16" s="1"/>
      <c r="B16" s="1"/>
      <c r="C16" s="6" t="s">
        <v>36</v>
      </c>
      <c r="D16" s="79" t="s">
        <v>181</v>
      </c>
      <c r="E16" s="80"/>
      <c r="F16" s="80"/>
      <c r="G16" s="81"/>
      <c r="H16" s="1"/>
      <c r="I16" s="1"/>
    </row>
    <row r="17" spans="1:9" x14ac:dyDescent="0.25">
      <c r="A17" s="1"/>
      <c r="B17" s="1"/>
      <c r="C17" s="6" t="s">
        <v>127</v>
      </c>
      <c r="D17" s="79" t="s">
        <v>182</v>
      </c>
      <c r="E17" s="80"/>
      <c r="F17" s="80"/>
      <c r="G17" s="81"/>
      <c r="H17" s="1"/>
      <c r="I17" s="1"/>
    </row>
    <row r="18" spans="1:9" x14ac:dyDescent="0.25">
      <c r="A18" s="1"/>
      <c r="B18" s="1"/>
      <c r="C18" s="32" t="s">
        <v>111</v>
      </c>
      <c r="D18" s="85" t="s">
        <v>100</v>
      </c>
      <c r="E18" s="86"/>
      <c r="F18" s="86"/>
      <c r="G18" s="87"/>
      <c r="H18" s="1"/>
      <c r="I18" s="1"/>
    </row>
    <row r="19" spans="1:9" x14ac:dyDescent="0.25">
      <c r="A19" s="1"/>
      <c r="B19" s="1"/>
      <c r="C19" s="32" t="s">
        <v>112</v>
      </c>
      <c r="D19" s="85" t="s">
        <v>101</v>
      </c>
      <c r="E19" s="86"/>
      <c r="F19" s="86"/>
      <c r="G19" s="87"/>
      <c r="H19" s="1"/>
      <c r="I19" s="1"/>
    </row>
    <row r="20" spans="1:9" x14ac:dyDescent="0.25">
      <c r="A20" s="1"/>
      <c r="B20" s="1"/>
      <c r="C20" s="32" t="s">
        <v>7</v>
      </c>
      <c r="D20" s="85" t="s">
        <v>9</v>
      </c>
      <c r="E20" s="86"/>
      <c r="F20" s="86"/>
      <c r="G20" s="87"/>
      <c r="H20" s="1"/>
      <c r="I20" s="1"/>
    </row>
    <row r="21" spans="1:9" x14ac:dyDescent="0.25">
      <c r="A21" s="1"/>
      <c r="B21" s="1"/>
      <c r="C21" s="6" t="s">
        <v>113</v>
      </c>
      <c r="D21" s="76" t="s">
        <v>12</v>
      </c>
      <c r="E21" s="77"/>
      <c r="F21" s="77"/>
      <c r="G21" s="78"/>
      <c r="H21" s="1"/>
      <c r="I21" s="1"/>
    </row>
    <row r="22" spans="1:9" x14ac:dyDescent="0.25">
      <c r="A22" s="1"/>
      <c r="B22" s="1"/>
      <c r="C22" s="6" t="s">
        <v>87</v>
      </c>
      <c r="D22" s="70" t="s">
        <v>183</v>
      </c>
      <c r="E22" s="71"/>
      <c r="F22" s="71"/>
      <c r="G22" s="72"/>
      <c r="H22" s="1"/>
      <c r="I22" s="1"/>
    </row>
    <row r="23" spans="1:9" x14ac:dyDescent="0.25">
      <c r="A23" s="1"/>
      <c r="B23" s="1"/>
      <c r="C23" s="6" t="s">
        <v>8</v>
      </c>
      <c r="D23" s="70" t="s">
        <v>37</v>
      </c>
      <c r="E23" s="71"/>
      <c r="F23" s="71"/>
      <c r="G23" s="72"/>
      <c r="H23" s="1"/>
      <c r="I23" s="1"/>
    </row>
    <row r="24" spans="1:9" x14ac:dyDescent="0.25">
      <c r="A24" s="1"/>
      <c r="B24" s="1"/>
      <c r="C24" s="6" t="s">
        <v>170</v>
      </c>
      <c r="D24" s="70" t="s">
        <v>88</v>
      </c>
      <c r="E24" s="71"/>
      <c r="F24" s="71"/>
      <c r="G24" s="72"/>
      <c r="H24" s="1"/>
      <c r="I24" s="1"/>
    </row>
    <row r="25" spans="1:9" x14ac:dyDescent="0.25">
      <c r="A25" s="1"/>
      <c r="B25" s="1"/>
      <c r="C25" s="6" t="s">
        <v>171</v>
      </c>
      <c r="D25" s="70" t="s">
        <v>89</v>
      </c>
      <c r="E25" s="71"/>
      <c r="F25" s="71"/>
      <c r="G25" s="72"/>
      <c r="H25" s="1"/>
      <c r="I25" s="1"/>
    </row>
    <row r="26" spans="1:9" x14ac:dyDescent="0.25">
      <c r="A26" s="1"/>
      <c r="B26" s="1"/>
      <c r="C26" s="6" t="s">
        <v>172</v>
      </c>
      <c r="D26" s="70" t="s">
        <v>129</v>
      </c>
      <c r="E26" s="71"/>
      <c r="F26" s="71"/>
      <c r="G26" s="72"/>
      <c r="H26" s="1"/>
      <c r="I26" s="1"/>
    </row>
    <row r="27" spans="1:9" x14ac:dyDescent="0.25">
      <c r="A27" s="1"/>
      <c r="B27" s="1"/>
      <c r="C27" s="6" t="s">
        <v>114</v>
      </c>
      <c r="D27" s="70" t="s">
        <v>38</v>
      </c>
      <c r="E27" s="71"/>
      <c r="F27" s="71"/>
      <c r="G27" s="72"/>
      <c r="H27" s="1"/>
      <c r="I27" s="1"/>
    </row>
    <row r="28" spans="1:9" x14ac:dyDescent="0.25">
      <c r="A28" s="1"/>
      <c r="B28" s="1"/>
      <c r="C28" s="6" t="s">
        <v>108</v>
      </c>
      <c r="D28" s="73" t="s">
        <v>109</v>
      </c>
      <c r="E28" s="74"/>
      <c r="F28" s="74"/>
      <c r="G28" s="75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/p8RPG5fntyeCWKxn+xTaAwPlDg7+GDvL3tB9Vailj9zyTTVI01Lhs4vgf9NlKnoppXgE4qRKbXcEd8i6SkpxQ==" saltValue="7YBWjTD7fRsBdG8ZtJJiNg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8" t="s">
        <v>117</v>
      </c>
      <c r="C3" s="88"/>
      <c r="D3" s="88"/>
      <c r="E3" s="1"/>
      <c r="F3" s="1"/>
    </row>
    <row r="4" spans="1:6" ht="15" customHeight="1" x14ac:dyDescent="0.25">
      <c r="A4" s="1"/>
      <c r="B4" s="88"/>
      <c r="C4" s="88"/>
      <c r="D4" s="8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1" t="s">
        <v>203</v>
      </c>
      <c r="C8" s="112"/>
      <c r="D8" s="113"/>
      <c r="E8" s="1"/>
      <c r="F8" s="1"/>
    </row>
    <row r="9" spans="1:6" ht="15" customHeight="1" x14ac:dyDescent="0.25">
      <c r="A9" s="1"/>
      <c r="B9" s="51" t="s">
        <v>33</v>
      </c>
      <c r="C9" s="11" t="s">
        <v>204</v>
      </c>
      <c r="D9" s="11"/>
      <c r="E9" s="1"/>
      <c r="F9" s="1"/>
    </row>
    <row r="10" spans="1:6" x14ac:dyDescent="0.25">
      <c r="A10" s="1"/>
      <c r="B10" s="62" t="s">
        <v>229</v>
      </c>
      <c r="C10" s="9">
        <v>11286200</v>
      </c>
      <c r="D10" s="14" t="s">
        <v>3</v>
      </c>
      <c r="E10" s="1"/>
      <c r="F10" s="1"/>
    </row>
    <row r="11" spans="1:6" x14ac:dyDescent="0.25">
      <c r="A11" s="1"/>
      <c r="B11" s="62" t="s">
        <v>230</v>
      </c>
      <c r="C11" s="9">
        <v>73047</v>
      </c>
      <c r="D11" s="14" t="s">
        <v>3</v>
      </c>
      <c r="E11" s="1"/>
      <c r="F11" s="1"/>
    </row>
    <row r="12" spans="1:6" x14ac:dyDescent="0.25">
      <c r="A12" s="1"/>
      <c r="B12" s="62" t="s">
        <v>231</v>
      </c>
      <c r="C12" s="9">
        <v>58790</v>
      </c>
      <c r="D12" s="14" t="s">
        <v>3</v>
      </c>
      <c r="E12" s="1"/>
      <c r="F12" s="1"/>
    </row>
    <row r="13" spans="1:6" x14ac:dyDescent="0.25">
      <c r="A13" s="1"/>
      <c r="B13" s="54" t="s">
        <v>205</v>
      </c>
      <c r="C13" s="12">
        <f>SUM(C10:C12)</f>
        <v>11418037</v>
      </c>
      <c r="D13" s="13" t="s">
        <v>3</v>
      </c>
      <c r="E13" s="1"/>
      <c r="F13" s="1"/>
    </row>
    <row r="14" spans="1:6" x14ac:dyDescent="0.25">
      <c r="A14" s="1"/>
      <c r="B14" s="54" t="s">
        <v>206</v>
      </c>
      <c r="C14" s="12">
        <f>C13*(1+'Fane 12. Nøgletal'!C14)^2</f>
        <v>11493520.386622932</v>
      </c>
      <c r="D14" s="13" t="s">
        <v>3</v>
      </c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ZNlrCCbrspgdHePdQ1YiUIF3NuTmXeotNiL1twzTqjwvV7cYbEBsetB917ueW5lZSSOVPCWe+NarYUwpMZO/Vg==" saltValue="HZyj32NRtckYPy3blEoAN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6" t="s">
        <v>221</v>
      </c>
      <c r="C3" s="96"/>
      <c r="D3" s="96"/>
      <c r="E3" s="96"/>
      <c r="F3" s="96"/>
      <c r="G3" s="1"/>
    </row>
    <row r="4" spans="1:7" ht="15" customHeight="1" x14ac:dyDescent="0.25">
      <c r="A4" s="1"/>
      <c r="B4" s="96"/>
      <c r="C4" s="96"/>
      <c r="D4" s="96"/>
      <c r="E4" s="96"/>
      <c r="F4" s="96"/>
      <c r="G4" s="1"/>
    </row>
    <row r="5" spans="1:7" ht="15" customHeight="1" x14ac:dyDescent="0.25">
      <c r="A5" s="1"/>
      <c r="B5" s="49"/>
      <c r="C5" s="49"/>
      <c r="D5" s="49"/>
      <c r="E5" s="49"/>
      <c r="F5" s="49"/>
      <c r="G5" s="1"/>
    </row>
    <row r="6" spans="1:7" ht="15" customHeight="1" x14ac:dyDescent="0.25">
      <c r="A6" s="1"/>
      <c r="B6" s="49"/>
      <c r="C6" s="49"/>
      <c r="D6" s="49"/>
      <c r="E6" s="49"/>
      <c r="F6" s="49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234</v>
      </c>
      <c r="C8" s="112"/>
      <c r="D8" s="112"/>
      <c r="E8" s="112"/>
      <c r="F8" s="113"/>
      <c r="G8" s="1"/>
    </row>
    <row r="9" spans="1:7" x14ac:dyDescent="0.25">
      <c r="A9" s="1"/>
      <c r="B9" s="114" t="s">
        <v>235</v>
      </c>
      <c r="C9" s="115"/>
      <c r="D9" s="116"/>
      <c r="E9" s="9">
        <v>6886846.0883815289</v>
      </c>
      <c r="F9" s="14" t="s">
        <v>3</v>
      </c>
      <c r="G9" s="1"/>
    </row>
    <row r="10" spans="1:7" x14ac:dyDescent="0.25">
      <c r="A10" s="1"/>
      <c r="B10" s="114" t="s">
        <v>236</v>
      </c>
      <c r="C10" s="115"/>
      <c r="D10" s="116"/>
      <c r="E10" s="9">
        <v>2821324.2820376568</v>
      </c>
      <c r="F10" s="14" t="s">
        <v>3</v>
      </c>
      <c r="G10" s="1"/>
    </row>
    <row r="11" spans="1:7" x14ac:dyDescent="0.25">
      <c r="A11" s="1"/>
      <c r="B11" s="114" t="s">
        <v>237</v>
      </c>
      <c r="C11" s="115"/>
      <c r="D11" s="116"/>
      <c r="E11" s="9">
        <v>-668425.27898055315</v>
      </c>
      <c r="F11" s="14" t="s">
        <v>3</v>
      </c>
      <c r="G11" s="1"/>
    </row>
    <row r="12" spans="1:7" x14ac:dyDescent="0.25">
      <c r="A12" s="1"/>
      <c r="B12" s="114" t="s">
        <v>238</v>
      </c>
      <c r="C12" s="115"/>
      <c r="D12" s="116"/>
      <c r="E12" s="9">
        <f>IF(OR(AND(E10&gt;0,E11&lt;0),AND(E11&lt;0,E34&gt;0)),E17+E18,E11)</f>
        <v>0</v>
      </c>
      <c r="F12" s="14" t="s">
        <v>3</v>
      </c>
      <c r="G12" s="1"/>
    </row>
    <row r="13" spans="1:7" x14ac:dyDescent="0.25">
      <c r="A13" s="1"/>
      <c r="B13" s="54"/>
      <c r="C13" s="55"/>
      <c r="D13" s="55"/>
      <c r="E13" s="55"/>
      <c r="F13" s="20"/>
      <c r="G13" s="1"/>
    </row>
    <row r="14" spans="1:7" ht="54.75" customHeight="1" x14ac:dyDescent="0.25">
      <c r="A14" s="1"/>
      <c r="B14" s="100" t="s">
        <v>239</v>
      </c>
      <c r="C14" s="101"/>
      <c r="D14" s="101"/>
      <c r="E14" s="101"/>
      <c r="F14" s="102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1" t="s">
        <v>240</v>
      </c>
      <c r="C16" s="112"/>
      <c r="D16" s="112"/>
      <c r="E16" s="112"/>
      <c r="F16" s="113"/>
      <c r="G16" s="1"/>
    </row>
    <row r="17" spans="1:7" x14ac:dyDescent="0.25">
      <c r="A17" s="1"/>
      <c r="B17" s="114" t="s">
        <v>241</v>
      </c>
      <c r="C17" s="115"/>
      <c r="D17" s="116"/>
      <c r="E17" s="9">
        <v>0</v>
      </c>
      <c r="F17" s="14" t="s">
        <v>3</v>
      </c>
      <c r="G17" s="1"/>
    </row>
    <row r="18" spans="1:7" x14ac:dyDescent="0.25">
      <c r="A18" s="1"/>
      <c r="B18" s="114" t="s">
        <v>242</v>
      </c>
      <c r="C18" s="115"/>
      <c r="D18" s="116"/>
      <c r="E18" s="9">
        <v>0</v>
      </c>
      <c r="F18" s="14" t="s">
        <v>3</v>
      </c>
      <c r="G18" s="1"/>
    </row>
    <row r="19" spans="1:7" x14ac:dyDescent="0.25">
      <c r="A19" s="1"/>
      <c r="B19" s="54"/>
      <c r="C19" s="55"/>
      <c r="D19" s="55"/>
      <c r="E19" s="55"/>
      <c r="F19" s="20"/>
      <c r="G19" s="1"/>
    </row>
    <row r="20" spans="1:7" ht="30" customHeight="1" x14ac:dyDescent="0.25">
      <c r="A20" s="1"/>
      <c r="B20" s="100" t="s">
        <v>243</v>
      </c>
      <c r="C20" s="101"/>
      <c r="D20" s="101"/>
      <c r="E20" s="101"/>
      <c r="F20" s="102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6" t="s">
        <v>207</v>
      </c>
      <c r="C22" s="57"/>
      <c r="D22" s="57"/>
      <c r="E22" s="57"/>
      <c r="F22" s="58"/>
      <c r="G22" s="1"/>
    </row>
    <row r="23" spans="1:7" x14ac:dyDescent="0.25">
      <c r="A23" s="1"/>
      <c r="B23" s="59" t="s">
        <v>208</v>
      </c>
      <c r="C23" s="60"/>
      <c r="D23" s="61"/>
      <c r="E23" s="9">
        <v>26054353.468577154</v>
      </c>
      <c r="F23" s="14" t="s">
        <v>3</v>
      </c>
      <c r="G23" s="1"/>
    </row>
    <row r="24" spans="1:7" x14ac:dyDescent="0.25">
      <c r="A24" s="1"/>
      <c r="B24" s="59" t="s">
        <v>209</v>
      </c>
      <c r="C24" s="60"/>
      <c r="D24" s="61"/>
      <c r="E24" s="9">
        <v>27033491</v>
      </c>
      <c r="F24" s="14" t="s">
        <v>3</v>
      </c>
      <c r="G24" s="1"/>
    </row>
    <row r="25" spans="1:7" x14ac:dyDescent="0.25">
      <c r="A25" s="1"/>
      <c r="B25" s="59" t="s">
        <v>34</v>
      </c>
      <c r="C25" s="60"/>
      <c r="D25" s="61"/>
      <c r="E25" s="9">
        <v>0</v>
      </c>
      <c r="F25" s="14" t="s">
        <v>3</v>
      </c>
      <c r="G25" s="1"/>
    </row>
    <row r="26" spans="1:7" x14ac:dyDescent="0.25">
      <c r="A26" s="1"/>
      <c r="B26" s="63" t="s">
        <v>250</v>
      </c>
      <c r="C26" s="64"/>
      <c r="D26" s="65"/>
      <c r="E26" s="45">
        <f>E23-(E24-E25)</f>
        <v>-979137.53142284602</v>
      </c>
      <c r="F26" s="17" t="s">
        <v>3</v>
      </c>
      <c r="G26" s="1"/>
    </row>
    <row r="27" spans="1:7" x14ac:dyDescent="0.25">
      <c r="A27" s="1"/>
      <c r="B27" s="54"/>
      <c r="C27" s="55"/>
      <c r="D27" s="55"/>
      <c r="E27" s="55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1" t="s">
        <v>244</v>
      </c>
      <c r="C29" s="112"/>
      <c r="D29" s="112"/>
      <c r="E29" s="112"/>
      <c r="F29" s="113"/>
      <c r="G29" s="1"/>
    </row>
    <row r="30" spans="1:7" x14ac:dyDescent="0.25">
      <c r="A30" s="1"/>
      <c r="B30" s="135" t="s">
        <v>245</v>
      </c>
      <c r="C30" s="136"/>
      <c r="D30" s="137"/>
      <c r="E30" s="10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25">
      <c r="A31" s="1"/>
      <c r="B31" s="111"/>
      <c r="C31" s="112"/>
      <c r="D31" s="112"/>
      <c r="E31" s="112"/>
      <c r="F31" s="113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1" t="s">
        <v>246</v>
      </c>
      <c r="C33" s="112"/>
      <c r="D33" s="112"/>
      <c r="E33" s="112"/>
      <c r="F33" s="113"/>
      <c r="G33" s="1"/>
    </row>
    <row r="34" spans="1:7" x14ac:dyDescent="0.25">
      <c r="A34" s="1"/>
      <c r="B34" s="132" t="s">
        <v>251</v>
      </c>
      <c r="C34" s="133"/>
      <c r="D34" s="134"/>
      <c r="E34" s="9">
        <v>3</v>
      </c>
      <c r="F34" s="14"/>
      <c r="G34" s="1"/>
    </row>
    <row r="35" spans="1:7" x14ac:dyDescent="0.25">
      <c r="A35" s="1"/>
      <c r="B35" s="132" t="s">
        <v>161</v>
      </c>
      <c r="C35" s="133"/>
      <c r="D35" s="134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2" t="s">
        <v>110</v>
      </c>
      <c r="C36" s="133"/>
      <c r="D36" s="134"/>
      <c r="E36" s="9">
        <v>4</v>
      </c>
      <c r="F36" s="14" t="s">
        <v>19</v>
      </c>
      <c r="G36" s="1"/>
    </row>
    <row r="37" spans="1:7" x14ac:dyDescent="0.25">
      <c r="A37" s="1"/>
      <c r="B37" s="138" t="s">
        <v>160</v>
      </c>
      <c r="C37" s="138"/>
      <c r="D37" s="138"/>
      <c r="E37" s="10">
        <f>E35/E36</f>
        <v>0</v>
      </c>
      <c r="F37" s="17" t="s">
        <v>3</v>
      </c>
      <c r="G37" s="1"/>
    </row>
    <row r="38" spans="1:7" x14ac:dyDescent="0.25">
      <c r="A38" s="1"/>
      <c r="B38" s="129"/>
      <c r="C38" s="130"/>
      <c r="D38" s="130"/>
      <c r="E38" s="130"/>
      <c r="F38" s="131"/>
      <c r="G38" s="1"/>
    </row>
    <row r="39" spans="1:7" ht="75" customHeight="1" x14ac:dyDescent="0.25">
      <c r="A39" s="1"/>
      <c r="B39" s="100" t="s">
        <v>249</v>
      </c>
      <c r="C39" s="101"/>
      <c r="D39" s="101"/>
      <c r="E39" s="101"/>
      <c r="F39" s="102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mskf/s5PbhCgSv+MTshB0eiUTY9WIHyg2szFghrUTjC+CDHyaJQuP8VcI60yGXyCQ8WypyAg31lw1B0MoT6MiA==" saltValue="SjbjDMz8/qu1JVQp9hEDVQ==" spinCount="100000" sheet="1" objects="1" scenarios="1"/>
  <mergeCells count="21">
    <mergeCell ref="B30:D30"/>
    <mergeCell ref="B37:D37"/>
    <mergeCell ref="B3:F4"/>
    <mergeCell ref="B17:D17"/>
    <mergeCell ref="B9:D9"/>
    <mergeCell ref="B38:F38"/>
    <mergeCell ref="B39:F39"/>
    <mergeCell ref="B8:F8"/>
    <mergeCell ref="B10:D10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36:D36"/>
    <mergeCell ref="B29:F2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169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1" t="s">
        <v>157</v>
      </c>
      <c r="C8" s="112"/>
      <c r="D8" s="112"/>
      <c r="E8" s="112"/>
      <c r="F8" s="112"/>
      <c r="G8" s="112"/>
      <c r="H8" s="113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48"/>
      <c r="I9" s="1"/>
    </row>
    <row r="10" spans="1:9" x14ac:dyDescent="0.25">
      <c r="A10" s="1"/>
      <c r="B10" s="67" t="s">
        <v>252</v>
      </c>
      <c r="C10" s="68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1" t="s">
        <v>158</v>
      </c>
      <c r="C11" s="112"/>
      <c r="D11" s="113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YlmK0vfIINH9UejXbmMoQPAQOeJejdn0nTffuOtGnPlhi4sLofTjkQHMmimEKOxJUY/e78ku5mra1HpEDWAQOA==" saltValue="hOGRByy9WQ7OtX6MLB7TE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168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84</v>
      </c>
      <c r="C8" s="55"/>
      <c r="D8" s="55"/>
      <c r="E8" s="55"/>
      <c r="F8" s="20"/>
      <c r="G8" s="1"/>
    </row>
    <row r="9" spans="1:7" ht="17.25" customHeight="1" x14ac:dyDescent="0.25">
      <c r="A9" s="1"/>
      <c r="B9" s="52" t="s">
        <v>16</v>
      </c>
      <c r="C9" s="52" t="s">
        <v>11</v>
      </c>
      <c r="D9" s="53"/>
      <c r="E9" s="52" t="s">
        <v>32</v>
      </c>
      <c r="F9" s="48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227</v>
      </c>
      <c r="C11" s="22">
        <v>226321</v>
      </c>
      <c r="D11" s="14" t="s">
        <v>3</v>
      </c>
      <c r="E11" s="9">
        <v>202903</v>
      </c>
      <c r="F11" s="14" t="s">
        <v>3</v>
      </c>
      <c r="G11" s="1"/>
    </row>
    <row r="12" spans="1:7" x14ac:dyDescent="0.25">
      <c r="A12" s="1"/>
      <c r="B12" s="54" t="s">
        <v>136</v>
      </c>
      <c r="C12" s="12">
        <f>SUM(C10:C11)</f>
        <v>226321</v>
      </c>
      <c r="D12" s="13" t="s">
        <v>3</v>
      </c>
      <c r="E12" s="12">
        <f>SUM(E10:E11)</f>
        <v>202903</v>
      </c>
      <c r="F12" s="13" t="s">
        <v>3</v>
      </c>
      <c r="G12" s="1"/>
    </row>
    <row r="13" spans="1:7" x14ac:dyDescent="0.25">
      <c r="A13" s="1"/>
      <c r="B13" s="54" t="s">
        <v>210</v>
      </c>
      <c r="C13" s="12">
        <f>C12*(1+'Fane 12. Nøgletal'!C14)</f>
        <v>227067.85930000001</v>
      </c>
      <c r="D13" s="13" t="s">
        <v>3</v>
      </c>
      <c r="E13" s="12">
        <f>E12*(1+'Fane 12. Nøgletal'!C14)</f>
        <v>203572.57990000001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RPJXDGRXqCQEkJAaJ7SJ6ON/W7Ye1O361U4dBPtRQ1qVxLsD+wKYifpwtGGGTBInVp/+yzvnq7WZ5g/zSZCdoQ==" saltValue="63kJJcWySWKL2JzOMhS6E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8" t="s">
        <v>167</v>
      </c>
      <c r="C3" s="88"/>
      <c r="D3" s="88"/>
      <c r="E3" s="88"/>
      <c r="F3" s="88"/>
      <c r="G3" s="1"/>
    </row>
    <row r="4" spans="1:7" ht="15" customHeight="1" x14ac:dyDescent="0.25">
      <c r="A4" s="1"/>
      <c r="B4" s="88"/>
      <c r="C4" s="88"/>
      <c r="D4" s="88"/>
      <c r="E4" s="88"/>
      <c r="F4" s="8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102</v>
      </c>
      <c r="C8" s="112"/>
      <c r="D8" s="112"/>
      <c r="E8" s="112"/>
      <c r="F8" s="113"/>
      <c r="G8" s="1"/>
    </row>
    <row r="9" spans="1:7" x14ac:dyDescent="0.25">
      <c r="A9" s="1"/>
      <c r="B9" s="52" t="s">
        <v>16</v>
      </c>
      <c r="C9" s="52" t="s">
        <v>11</v>
      </c>
      <c r="D9" s="53"/>
      <c r="E9" s="52" t="s">
        <v>32</v>
      </c>
      <c r="F9" s="48"/>
      <c r="G9" s="1"/>
    </row>
    <row r="10" spans="1:7" x14ac:dyDescent="0.25">
      <c r="A10" s="1"/>
      <c r="B10" s="25" t="s">
        <v>232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4" t="s">
        <v>211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4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1" t="s">
        <v>103</v>
      </c>
      <c r="C16" s="112"/>
      <c r="D16" s="112"/>
      <c r="E16" s="112"/>
      <c r="F16" s="113"/>
      <c r="G16" s="1"/>
    </row>
    <row r="17" spans="1:7" x14ac:dyDescent="0.25">
      <c r="A17" s="1"/>
      <c r="B17" s="52" t="s">
        <v>16</v>
      </c>
      <c r="C17" s="52" t="s">
        <v>11</v>
      </c>
      <c r="D17" s="53"/>
      <c r="E17" s="52" t="s">
        <v>32</v>
      </c>
      <c r="F17" s="48"/>
      <c r="G17" s="1"/>
    </row>
    <row r="18" spans="1:7" x14ac:dyDescent="0.25">
      <c r="A18" s="1"/>
      <c r="B18" s="25" t="s">
        <v>232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4" t="s">
        <v>211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4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1" t="s">
        <v>138</v>
      </c>
      <c r="C24" s="112"/>
      <c r="D24" s="112"/>
      <c r="E24" s="112"/>
      <c r="F24" s="113"/>
      <c r="G24" s="1"/>
    </row>
    <row r="25" spans="1:7" x14ac:dyDescent="0.25">
      <c r="A25" s="1"/>
      <c r="B25" s="52" t="s">
        <v>16</v>
      </c>
      <c r="C25" s="52" t="s">
        <v>11</v>
      </c>
      <c r="D25" s="53"/>
      <c r="E25" s="52" t="s">
        <v>32</v>
      </c>
      <c r="F25" s="48"/>
      <c r="G25" s="1"/>
    </row>
    <row r="26" spans="1:7" x14ac:dyDescent="0.25">
      <c r="A26" s="1"/>
      <c r="B26" s="25" t="s">
        <v>232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4" t="s">
        <v>211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4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1" t="s">
        <v>212</v>
      </c>
      <c r="C32" s="112"/>
      <c r="D32" s="112"/>
      <c r="E32" s="112"/>
      <c r="F32" s="113"/>
      <c r="G32" s="1"/>
    </row>
    <row r="33" spans="1:7" x14ac:dyDescent="0.25">
      <c r="A33" s="1"/>
      <c r="B33" s="52" t="s">
        <v>16</v>
      </c>
      <c r="C33" s="52" t="s">
        <v>11</v>
      </c>
      <c r="D33" s="53"/>
      <c r="E33" s="52" t="s">
        <v>32</v>
      </c>
      <c r="F33" s="48"/>
      <c r="G33" s="1"/>
    </row>
    <row r="34" spans="1:7" x14ac:dyDescent="0.25">
      <c r="A34" s="1"/>
      <c r="B34" s="25" t="s">
        <v>232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4" t="s">
        <v>211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4" t="s">
        <v>213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nedL9LZJgFYuMleCBzCW2FjoQp+x376ksDPfI7IV2i4J9qvz32BRd+WN/inloAJ2fbAOJjXYapjx9C8nvUVtOQ==" saltValue="0TFwERIPUoHz/Cv1tkmY5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166</v>
      </c>
      <c r="C3" s="96"/>
      <c r="D3" s="96"/>
      <c r="E3" s="96"/>
      <c r="F3" s="96"/>
      <c r="G3" s="1"/>
    </row>
    <row r="4" spans="1:7" ht="25.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130</v>
      </c>
      <c r="C8" s="112"/>
      <c r="D8" s="112"/>
      <c r="E8" s="112"/>
      <c r="F8" s="113"/>
      <c r="G8" s="1"/>
    </row>
    <row r="9" spans="1:7" ht="15" customHeight="1" x14ac:dyDescent="0.25">
      <c r="A9" s="1"/>
      <c r="B9" s="47" t="s">
        <v>131</v>
      </c>
      <c r="C9" s="106" t="s">
        <v>11</v>
      </c>
      <c r="D9" s="108"/>
      <c r="E9" s="106" t="s">
        <v>32</v>
      </c>
      <c r="F9" s="108"/>
      <c r="G9" s="1"/>
    </row>
    <row r="10" spans="1:7" x14ac:dyDescent="0.25">
      <c r="A10" s="1"/>
      <c r="B10" s="25" t="s">
        <v>228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XcpdysYzllfxOB+zdvcB82iLoroHwliCEG4KHv3hSE8zpzlXX+/6JBdwCvsMq8OnkbGGGm+CVsoKKBh0VpNvQQ==" saltValue="+I8K5r/i22+T7kwmaD8kw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165</v>
      </c>
      <c r="C3" s="96"/>
      <c r="D3" s="96"/>
      <c r="E3" s="96"/>
      <c r="F3" s="96"/>
      <c r="G3" s="1"/>
    </row>
    <row r="4" spans="1:7" ht="25.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1" t="s">
        <v>98</v>
      </c>
      <c r="C8" s="112"/>
      <c r="D8" s="112"/>
      <c r="E8" s="112"/>
      <c r="F8" s="113"/>
      <c r="G8" s="1"/>
    </row>
    <row r="9" spans="1:7" ht="15" customHeight="1" x14ac:dyDescent="0.25">
      <c r="A9" s="1"/>
      <c r="B9" s="47" t="s">
        <v>17</v>
      </c>
      <c r="C9" s="47" t="s">
        <v>11</v>
      </c>
      <c r="D9" s="48"/>
      <c r="E9" s="47" t="s">
        <v>32</v>
      </c>
      <c r="F9" s="48"/>
      <c r="G9" s="1"/>
    </row>
    <row r="10" spans="1:7" x14ac:dyDescent="0.25">
      <c r="A10" s="1"/>
      <c r="B10" s="25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4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4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1" t="s">
        <v>99</v>
      </c>
      <c r="C15" s="112"/>
      <c r="D15" s="112"/>
      <c r="E15" s="112"/>
      <c r="F15" s="113"/>
      <c r="G15" s="1"/>
    </row>
    <row r="16" spans="1:7" ht="26.25" x14ac:dyDescent="0.25">
      <c r="A16" s="1"/>
      <c r="B16" s="47" t="s">
        <v>17</v>
      </c>
      <c r="C16" s="47" t="s">
        <v>11</v>
      </c>
      <c r="D16" s="48"/>
      <c r="E16" s="47" t="s">
        <v>32</v>
      </c>
      <c r="F16" s="48"/>
      <c r="G16" s="1"/>
    </row>
    <row r="17" spans="1:7" x14ac:dyDescent="0.25">
      <c r="A17" s="1"/>
      <c r="B17" s="25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4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4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1" t="s">
        <v>142</v>
      </c>
      <c r="C22" s="112"/>
      <c r="D22" s="112"/>
      <c r="E22" s="112"/>
      <c r="F22" s="113"/>
      <c r="G22" s="1"/>
    </row>
    <row r="23" spans="1:7" ht="26.25" x14ac:dyDescent="0.25">
      <c r="A23" s="1"/>
      <c r="B23" s="47" t="s">
        <v>17</v>
      </c>
      <c r="C23" s="47" t="s">
        <v>11</v>
      </c>
      <c r="D23" s="48"/>
      <c r="E23" s="47" t="s">
        <v>32</v>
      </c>
      <c r="F23" s="48"/>
      <c r="G23" s="1"/>
    </row>
    <row r="24" spans="1:7" x14ac:dyDescent="0.25">
      <c r="A24" s="1"/>
      <c r="B24" s="25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4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4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1" t="s">
        <v>215</v>
      </c>
      <c r="C29" s="112"/>
      <c r="D29" s="112"/>
      <c r="E29" s="112"/>
      <c r="F29" s="113"/>
      <c r="G29" s="1"/>
    </row>
    <row r="30" spans="1:7" ht="26.25" x14ac:dyDescent="0.25">
      <c r="A30" s="1"/>
      <c r="B30" s="47" t="s">
        <v>17</v>
      </c>
      <c r="C30" s="47" t="s">
        <v>11</v>
      </c>
      <c r="D30" s="48"/>
      <c r="E30" s="47" t="s">
        <v>32</v>
      </c>
      <c r="F30" s="48"/>
      <c r="G30" s="1"/>
    </row>
    <row r="31" spans="1:7" x14ac:dyDescent="0.25">
      <c r="A31" s="1"/>
      <c r="B31" s="25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4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4" t="s">
        <v>216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H3GDABYnqPakrjD+5WPmSDQmU93074OJJFxsEBGyymlkmoZTPsvEUPX2HZiMnaRlhb7dfqBEjdor4iENe8AYVA==" saltValue="dyHAhgQZGCx5LXErwH6ci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6" t="s">
        <v>164</v>
      </c>
      <c r="C3" s="96"/>
      <c r="D3" s="1"/>
    </row>
    <row r="4" spans="1:4" ht="25.5" customHeight="1" x14ac:dyDescent="0.25">
      <c r="A4" s="1"/>
      <c r="B4" s="96"/>
      <c r="C4" s="9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4" t="s">
        <v>14</v>
      </c>
      <c r="C8" s="20"/>
      <c r="D8" s="1"/>
    </row>
    <row r="9" spans="1:4" x14ac:dyDescent="0.25">
      <c r="A9" s="1"/>
      <c r="B9" s="62" t="s">
        <v>118</v>
      </c>
      <c r="C9" s="26">
        <v>1.2699999999999999E-2</v>
      </c>
      <c r="D9" s="1"/>
    </row>
    <row r="10" spans="1:4" x14ac:dyDescent="0.25">
      <c r="A10" s="1"/>
      <c r="B10" s="62" t="s">
        <v>22</v>
      </c>
      <c r="C10" s="26">
        <v>1.7500000000000002E-2</v>
      </c>
      <c r="D10" s="1"/>
    </row>
    <row r="11" spans="1:4" x14ac:dyDescent="0.25">
      <c r="A11" s="1"/>
      <c r="B11" s="62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217</v>
      </c>
      <c r="C14" s="69">
        <v>3.3E-3</v>
      </c>
      <c r="D14" s="1"/>
    </row>
    <row r="15" spans="1:4" x14ac:dyDescent="0.25">
      <c r="A15" s="1"/>
      <c r="B15" s="111"/>
      <c r="C15" s="113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4" t="s">
        <v>106</v>
      </c>
      <c r="C18" s="20"/>
      <c r="D18" s="1"/>
    </row>
    <row r="19" spans="1:4" x14ac:dyDescent="0.25">
      <c r="A19" s="1"/>
      <c r="B19" s="62" t="s">
        <v>120</v>
      </c>
      <c r="C19" s="23">
        <v>9.1000000000000004E-3</v>
      </c>
      <c r="D19" s="1"/>
    </row>
    <row r="20" spans="1:4" x14ac:dyDescent="0.25">
      <c r="A20" s="1"/>
      <c r="B20" s="62" t="s">
        <v>121</v>
      </c>
      <c r="C20" s="23">
        <v>1.77E-2</v>
      </c>
      <c r="D20" s="1"/>
    </row>
    <row r="21" spans="1:4" x14ac:dyDescent="0.25">
      <c r="A21" s="1"/>
      <c r="B21" s="62" t="s">
        <v>122</v>
      </c>
      <c r="C21" s="23">
        <v>8.6999999999999994E-3</v>
      </c>
      <c r="D21" s="1"/>
    </row>
    <row r="22" spans="1:4" x14ac:dyDescent="0.25">
      <c r="A22" s="1"/>
      <c r="B22" s="62" t="s">
        <v>123</v>
      </c>
      <c r="C22" s="35">
        <v>2.8400000000000002E-2</v>
      </c>
      <c r="D22" s="1"/>
    </row>
    <row r="23" spans="1:4" x14ac:dyDescent="0.25">
      <c r="A23" s="1"/>
      <c r="B23" s="62" t="s">
        <v>146</v>
      </c>
      <c r="C23" s="35">
        <v>2.75E-2</v>
      </c>
      <c r="D23" s="1"/>
    </row>
    <row r="24" spans="1:4" x14ac:dyDescent="0.25">
      <c r="A24" s="1"/>
      <c r="B24" s="62" t="s">
        <v>218</v>
      </c>
      <c r="C24" s="35">
        <v>1.4800000000000001E-2</v>
      </c>
      <c r="D24" s="1"/>
    </row>
    <row r="25" spans="1:4" x14ac:dyDescent="0.25">
      <c r="A25" s="1"/>
      <c r="B25" s="54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4" t="s">
        <v>107</v>
      </c>
      <c r="C28" s="20"/>
      <c r="D28" s="1"/>
    </row>
    <row r="29" spans="1:4" x14ac:dyDescent="0.25">
      <c r="A29" s="1"/>
      <c r="B29" s="62" t="s">
        <v>124</v>
      </c>
      <c r="C29" s="26">
        <v>0.02</v>
      </c>
      <c r="D29" s="1"/>
    </row>
    <row r="30" spans="1:4" x14ac:dyDescent="0.25">
      <c r="A30" s="1"/>
      <c r="B30" s="54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3/Y33WyO9TkZ8OE5g6YJgxkYG8W+uqf4BOg/GtNTWOPc7NPdDD7V5NaBPc9pl7xRGiR5V/nc65KHLHSRhOXQEA==" saltValue="m4x9+74rzi5lFmhUjH0A/Q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184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4" t="s">
        <v>13</v>
      </c>
      <c r="C8" s="55"/>
      <c r="D8" s="20"/>
      <c r="E8" s="1"/>
    </row>
    <row r="9" spans="1:5" x14ac:dyDescent="0.25">
      <c r="A9" s="1"/>
      <c r="B9" s="50" t="s">
        <v>24</v>
      </c>
      <c r="C9" s="7">
        <f>'Fane 3. Omkostninger i ØR2021'!E20</f>
        <v>14885787.337564703</v>
      </c>
      <c r="D9" s="8" t="s">
        <v>3</v>
      </c>
      <c r="E9" s="1"/>
    </row>
    <row r="10" spans="1:5" x14ac:dyDescent="0.25">
      <c r="A10" s="1"/>
      <c r="B10" s="46" t="s">
        <v>219</v>
      </c>
      <c r="C10" s="7">
        <f>(SUM('Fane 3. Omkostninger i ØR2021'!E10,'Fane 3. Omkostninger i ØR2021'!E12,'Fane 3. Omkostninger i ØR2021'!E14)*(1+'Fane 12. Nøgletal'!C13)*(1-'Fane 12. Nøgletal'!C29-'Fane 5. Individuelt eff. krav'!G10))</f>
        <v>0</v>
      </c>
      <c r="D10" s="8" t="s">
        <v>3</v>
      </c>
      <c r="E10" s="1"/>
    </row>
    <row r="11" spans="1:5" x14ac:dyDescent="0.25">
      <c r="A11" s="1"/>
      <c r="B11" s="46" t="s">
        <v>220</v>
      </c>
      <c r="C11" s="7">
        <f>(SUM('Fane 3. Omkostninger i ØR2021'!E11,'Fane 3. Omkostninger i ØR2021'!E13,'Fane 3. Omkostninger i ØR2021'!E15)*(1+'Fane 12. Nøgletal'!C13)*(1-'Fane 12. Nøgletal'!C23-'Fane 5. Individuelt eff. krav'!G10))</f>
        <v>0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tillæg'!C13</f>
        <v>227067.85930000001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tillæg'!E13</f>
        <v>203572.57990000001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183027.71896764939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0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-126298.33847449413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-256726.27976960939</v>
      </c>
      <c r="D21" s="8" t="s">
        <v>3</v>
      </c>
      <c r="E21" s="1"/>
    </row>
    <row r="22" spans="1:5" ht="17.100000000000001" customHeight="1" x14ac:dyDescent="0.25">
      <c r="A22" s="1"/>
      <c r="B22" s="63" t="s">
        <v>20</v>
      </c>
      <c r="C22" s="10">
        <f>SUM(C9,C12:C21)</f>
        <v>15116430.877488252</v>
      </c>
      <c r="D22" s="11" t="s">
        <v>3</v>
      </c>
      <c r="E22" s="1"/>
    </row>
    <row r="23" spans="1:5" ht="15" customHeight="1" x14ac:dyDescent="0.25">
      <c r="A23" s="1"/>
      <c r="B23" s="54" t="s">
        <v>12</v>
      </c>
      <c r="C23" s="55"/>
      <c r="D23" s="20"/>
      <c r="E23" s="1"/>
    </row>
    <row r="24" spans="1:5" ht="15" customHeight="1" x14ac:dyDescent="0.25">
      <c r="A24" s="1"/>
      <c r="B24" s="47" t="s">
        <v>12</v>
      </c>
      <c r="C24" s="10">
        <f>'Fane 6. Ikke-påvirkelige omk.'!C14</f>
        <v>11493520.386622932</v>
      </c>
      <c r="D24" s="11" t="s">
        <v>3</v>
      </c>
      <c r="E24" s="1"/>
    </row>
    <row r="25" spans="1:5" ht="15" customHeight="1" x14ac:dyDescent="0.25">
      <c r="A25" s="1"/>
      <c r="B25" s="54" t="s">
        <v>89</v>
      </c>
      <c r="C25" s="55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3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5"/>
      <c r="D29" s="20"/>
      <c r="E29" s="1"/>
    </row>
    <row r="30" spans="1:5" x14ac:dyDescent="0.25">
      <c r="A30" s="1"/>
      <c r="B30" s="66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225</v>
      </c>
      <c r="C31" s="55"/>
      <c r="D31" s="20"/>
      <c r="E31" s="1"/>
    </row>
    <row r="32" spans="1:5" x14ac:dyDescent="0.25">
      <c r="A32" s="1"/>
      <c r="B32" s="66" t="s">
        <v>226</v>
      </c>
      <c r="C32" s="10">
        <v>0</v>
      </c>
      <c r="D32" s="11" t="s">
        <v>3</v>
      </c>
      <c r="E32" s="1"/>
    </row>
    <row r="33" spans="1:5" x14ac:dyDescent="0.25">
      <c r="A33" s="1"/>
      <c r="B33" s="54" t="s">
        <v>30</v>
      </c>
      <c r="C33" s="31">
        <f>SUM(C22,C24,C28,C30,C32)</f>
        <v>26609951.264111184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RC7cI6Q6LNJywcbHy+UNOqHrQfNpNDi9Z/q2/WsalKn7q0Ke3sLPQexgNH3BLm103ciuE+U92EPufwFT+Uojbg==" saltValue="t3UvGv6oHcpbJfC/QR2oE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185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4" t="s">
        <v>13</v>
      </c>
      <c r="C8" s="55"/>
      <c r="D8" s="20"/>
      <c r="E8" s="1"/>
    </row>
    <row r="9" spans="1:5" ht="15" customHeight="1" x14ac:dyDescent="0.25">
      <c r="A9" s="1"/>
      <c r="B9" s="50" t="s">
        <v>134</v>
      </c>
      <c r="C9" s="7">
        <f>'Fane 2.1. Økonomisk ramme 2022'!C22</f>
        <v>15116430.877488252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6" t="s">
        <v>18</v>
      </c>
      <c r="C12" s="9">
        <f>SUM(C9:C11)*'Fane 12. Nøgletal'!C14</f>
        <v>49884.221895711227</v>
      </c>
      <c r="D12" s="8" t="s">
        <v>3</v>
      </c>
      <c r="E12" s="1"/>
    </row>
    <row r="13" spans="1:5" ht="15" customHeight="1" x14ac:dyDescent="0.25">
      <c r="A13" s="1"/>
      <c r="B13" s="46" t="s">
        <v>9</v>
      </c>
      <c r="C13" s="9">
        <f>-SUM(C9:C12)*'Fane 5. Individuelt eff. krav'!G10</f>
        <v>0</v>
      </c>
      <c r="D13" s="8" t="s">
        <v>3</v>
      </c>
      <c r="E13" s="1"/>
    </row>
    <row r="14" spans="1:5" ht="15" customHeight="1" x14ac:dyDescent="0.25">
      <c r="A14" s="1"/>
      <c r="B14" s="46" t="s">
        <v>25</v>
      </c>
      <c r="C14" s="9">
        <f>-'Fane 4.1. Gen. krav - drift'!G44</f>
        <v>-124180.82053163076</v>
      </c>
      <c r="D14" s="8" t="s">
        <v>3</v>
      </c>
      <c r="E14" s="1"/>
    </row>
    <row r="15" spans="1:5" ht="15" customHeight="1" x14ac:dyDescent="0.25">
      <c r="A15" s="1"/>
      <c r="B15" s="46" t="s">
        <v>26</v>
      </c>
      <c r="C15" s="9">
        <f>-'Fane 4.2. Gen. krav - anlæg'!G44</f>
        <v>-136209.87291211268</v>
      </c>
      <c r="D15" s="8" t="s">
        <v>3</v>
      </c>
      <c r="E15" s="1"/>
    </row>
    <row r="16" spans="1:5" ht="15" customHeight="1" x14ac:dyDescent="0.25">
      <c r="A16" s="1"/>
      <c r="B16" s="51" t="s">
        <v>20</v>
      </c>
      <c r="C16" s="10">
        <f>SUM(C9:C15)</f>
        <v>14905924.40594022</v>
      </c>
      <c r="D16" s="11" t="s">
        <v>3</v>
      </c>
      <c r="E16" s="1"/>
    </row>
    <row r="17" spans="1:5" x14ac:dyDescent="0.25">
      <c r="A17" s="1"/>
      <c r="B17" s="54" t="s">
        <v>12</v>
      </c>
      <c r="C17" s="55"/>
      <c r="D17" s="20"/>
      <c r="E17" s="1"/>
    </row>
    <row r="18" spans="1:5" ht="15" customHeight="1" x14ac:dyDescent="0.25">
      <c r="A18" s="1"/>
      <c r="B18" s="47" t="s">
        <v>12</v>
      </c>
      <c r="C18" s="10">
        <f>'Fane 6. Ikke-påvirkelige omk.'!C14*(1+'Fane 12. Nøgletal'!C14)</f>
        <v>11531449.003898788</v>
      </c>
      <c r="D18" s="11" t="s">
        <v>3</v>
      </c>
      <c r="E18" s="1"/>
    </row>
    <row r="19" spans="1:5" ht="15" customHeight="1" x14ac:dyDescent="0.25">
      <c r="A19" s="1"/>
      <c r="B19" s="54" t="s">
        <v>89</v>
      </c>
      <c r="C19" s="55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3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5"/>
      <c r="D23" s="20"/>
      <c r="E23" s="1"/>
    </row>
    <row r="24" spans="1:5" ht="15" customHeight="1" x14ac:dyDescent="0.25">
      <c r="A24" s="1"/>
      <c r="B24" s="66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225</v>
      </c>
      <c r="C25" s="55"/>
      <c r="D25" s="20"/>
      <c r="E25" s="1"/>
    </row>
    <row r="26" spans="1:5" x14ac:dyDescent="0.25">
      <c r="A26" s="1"/>
      <c r="B26" s="66" t="s">
        <v>226</v>
      </c>
      <c r="C26" s="10">
        <v>0</v>
      </c>
      <c r="D26" s="11" t="s">
        <v>3</v>
      </c>
      <c r="E26" s="1"/>
    </row>
    <row r="27" spans="1:5" x14ac:dyDescent="0.25">
      <c r="A27" s="1"/>
      <c r="B27" s="54" t="s">
        <v>97</v>
      </c>
      <c r="C27" s="12">
        <f>SUM(C16,C18,C22,C24,C26)</f>
        <v>26437373.409839008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kue2GxpRBzx65oKzQ+1T/ybiiktF+cKJuXhEDh7fDhxeef3U2ZD1FJXrvbmrcmPTjRt+zSv5Jja2FIQrGCPsJQ==" saltValue="fNkFcf2gTDhPt01iUmJN7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186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4" t="s">
        <v>13</v>
      </c>
      <c r="C7" s="55"/>
      <c r="D7" s="20"/>
      <c r="E7" s="1"/>
    </row>
    <row r="8" spans="1:5" ht="15" customHeight="1" x14ac:dyDescent="0.25">
      <c r="A8" s="1"/>
      <c r="B8" s="50" t="s">
        <v>135</v>
      </c>
      <c r="C8" s="7">
        <f>'Fane 2.2. Økonomisk ramme 2023'!C16</f>
        <v>14905924.40594022</v>
      </c>
      <c r="D8" s="8" t="s">
        <v>3</v>
      </c>
      <c r="E8" s="1"/>
    </row>
    <row r="9" spans="1:5" ht="15" customHeight="1" x14ac:dyDescent="0.25">
      <c r="A9" s="1"/>
      <c r="B9" s="50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0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49189.550539602722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drift'!G50</f>
        <v>-122098.80489459744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43">
        <f>-'Fane 4.2. Gen. krav - anlæg'!G50</f>
        <v>-134636.80688343037</v>
      </c>
      <c r="D14" s="8" t="s">
        <v>3</v>
      </c>
      <c r="E14" s="1"/>
    </row>
    <row r="15" spans="1:5" x14ac:dyDescent="0.25">
      <c r="A15" s="1"/>
      <c r="B15" s="51" t="s">
        <v>20</v>
      </c>
      <c r="C15" s="10">
        <f>SUM(C8:C14)</f>
        <v>14698378.344701795</v>
      </c>
      <c r="D15" s="11" t="s">
        <v>3</v>
      </c>
      <c r="E15" s="1"/>
    </row>
    <row r="16" spans="1:5" x14ac:dyDescent="0.25">
      <c r="A16" s="1"/>
      <c r="B16" s="54" t="s">
        <v>12</v>
      </c>
      <c r="C16" s="55"/>
      <c r="D16" s="20"/>
      <c r="E16" s="1"/>
    </row>
    <row r="17" spans="1:5" ht="15" customHeight="1" x14ac:dyDescent="0.25">
      <c r="A17" s="1"/>
      <c r="B17" s="47" t="s">
        <v>12</v>
      </c>
      <c r="C17" s="10">
        <f>'Fane 6. Ikke-påvirkelige omk.'!C14*(1+'Fane 12. Nøgletal'!C14)^2</f>
        <v>11569502.785611656</v>
      </c>
      <c r="D17" s="11" t="s">
        <v>3</v>
      </c>
      <c r="E17" s="1"/>
    </row>
    <row r="18" spans="1:5" ht="15" customHeight="1" x14ac:dyDescent="0.25">
      <c r="A18" s="1"/>
      <c r="B18" s="54" t="s">
        <v>89</v>
      </c>
      <c r="C18" s="55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4" t="s">
        <v>161</v>
      </c>
      <c r="C22" s="55"/>
      <c r="D22" s="20"/>
      <c r="E22" s="1"/>
    </row>
    <row r="23" spans="1:5" x14ac:dyDescent="0.25">
      <c r="A23" s="1"/>
      <c r="B23" s="47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225</v>
      </c>
      <c r="C24" s="55"/>
      <c r="D24" s="20"/>
      <c r="E24" s="1"/>
    </row>
    <row r="25" spans="1:5" ht="15" customHeight="1" x14ac:dyDescent="0.25">
      <c r="A25" s="1"/>
      <c r="B25" s="66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4" t="s">
        <v>187</v>
      </c>
      <c r="C26" s="12">
        <f>SUM(C15,C17,C21,C23,C25)</f>
        <v>26267881.130313449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XZxRs7nHdqKMnXyzt9E4xAZAq4pDW3WDIoAE7NIU+D7K9PmP3RDeKysNh9+fImoRm+M+cAmB2NoIQfC2naCUCg==" saltValue="06iWkUhTd810klFZLp68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8" t="s">
        <v>188</v>
      </c>
      <c r="C3" s="88"/>
      <c r="D3" s="88"/>
      <c r="E3" s="1"/>
    </row>
    <row r="4" spans="1:5" ht="15" customHeight="1" x14ac:dyDescent="0.25">
      <c r="A4" s="1"/>
      <c r="B4" s="88"/>
      <c r="C4" s="88"/>
      <c r="D4" s="88"/>
      <c r="E4" s="1"/>
    </row>
    <row r="5" spans="1:5" x14ac:dyDescent="0.25">
      <c r="A5" s="1"/>
      <c r="B5" s="89" t="s">
        <v>21</v>
      </c>
      <c r="C5" s="89"/>
      <c r="D5" s="8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4" t="s">
        <v>13</v>
      </c>
      <c r="C7" s="55"/>
      <c r="D7" s="20"/>
      <c r="E7" s="1"/>
    </row>
    <row r="8" spans="1:5" ht="15" customHeight="1" x14ac:dyDescent="0.25">
      <c r="A8" s="1"/>
      <c r="B8" s="50" t="s">
        <v>189</v>
      </c>
      <c r="C8" s="7">
        <f>'Fane 2.3. Økonomisk ramme 2024'!C15</f>
        <v>14698378.344701795</v>
      </c>
      <c r="D8" s="8" t="s">
        <v>3</v>
      </c>
      <c r="E8" s="1"/>
    </row>
    <row r="9" spans="1:5" ht="15" customHeight="1" x14ac:dyDescent="0.25">
      <c r="A9" s="1"/>
      <c r="B9" s="50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0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6" t="s">
        <v>18</v>
      </c>
      <c r="C11" s="9">
        <f>SUM(C8:C10)*'Fane 12. Nøgletal'!C14</f>
        <v>48504.648537515925</v>
      </c>
      <c r="D11" s="8" t="s">
        <v>3</v>
      </c>
      <c r="E11" s="1"/>
    </row>
    <row r="12" spans="1:5" ht="15" customHeight="1" x14ac:dyDescent="0.25">
      <c r="A12" s="1"/>
      <c r="B12" s="46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46" t="s">
        <v>25</v>
      </c>
      <c r="C13" s="9">
        <f>-'Fane 4.1. Gen. krav - drift'!G56</f>
        <v>-120051.69633173464</v>
      </c>
      <c r="D13" s="8" t="s">
        <v>3</v>
      </c>
      <c r="E13" s="1"/>
    </row>
    <row r="14" spans="1:5" ht="15" customHeight="1" x14ac:dyDescent="0.25">
      <c r="A14" s="1"/>
      <c r="B14" s="46" t="s">
        <v>26</v>
      </c>
      <c r="C14" s="9">
        <f>-'Fane 4.2. Gen. krav - anlæg'!G56</f>
        <v>-133081.90794262275</v>
      </c>
      <c r="D14" s="8" t="s">
        <v>3</v>
      </c>
      <c r="E14" s="1"/>
    </row>
    <row r="15" spans="1:5" x14ac:dyDescent="0.25">
      <c r="A15" s="1"/>
      <c r="B15" s="51" t="s">
        <v>20</v>
      </c>
      <c r="C15" s="10">
        <f>SUM(C8:C14)</f>
        <v>14493749.388964955</v>
      </c>
      <c r="D15" s="11" t="s">
        <v>3</v>
      </c>
      <c r="E15" s="1"/>
    </row>
    <row r="16" spans="1:5" x14ac:dyDescent="0.25">
      <c r="A16" s="1"/>
      <c r="B16" s="54" t="s">
        <v>12</v>
      </c>
      <c r="C16" s="55"/>
      <c r="D16" s="20"/>
      <c r="E16" s="1"/>
    </row>
    <row r="17" spans="1:5" ht="15" customHeight="1" x14ac:dyDescent="0.25">
      <c r="A17" s="1"/>
      <c r="B17" s="47" t="s">
        <v>12</v>
      </c>
      <c r="C17" s="10">
        <f>'Fane 6. Ikke-påvirkelige omk.'!C14*(1+'Fane 12. Nøgletal'!C14)^3</f>
        <v>11607682.144804174</v>
      </c>
      <c r="D17" s="11" t="s">
        <v>3</v>
      </c>
      <c r="E17" s="1"/>
    </row>
    <row r="18" spans="1:5" ht="15" customHeight="1" x14ac:dyDescent="0.25">
      <c r="A18" s="1"/>
      <c r="B18" s="54" t="s">
        <v>89</v>
      </c>
      <c r="C18" s="55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4" t="s">
        <v>161</v>
      </c>
      <c r="C22" s="55"/>
      <c r="D22" s="20"/>
      <c r="E22" s="1"/>
    </row>
    <row r="23" spans="1:5" x14ac:dyDescent="0.25">
      <c r="A23" s="1"/>
      <c r="B23" s="47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225</v>
      </c>
      <c r="C24" s="55"/>
      <c r="D24" s="20"/>
      <c r="E24" s="1"/>
    </row>
    <row r="25" spans="1:5" x14ac:dyDescent="0.25">
      <c r="A25" s="1"/>
      <c r="B25" s="66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4" t="s">
        <v>190</v>
      </c>
      <c r="C26" s="12">
        <f>SUM(C15,C17,C21,C23,C25)</f>
        <v>26101431.533769131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fcGeXiyHnvFrXrku6hb2UN9Y59bVhJjHemYnqfZjZNd5ZchHtWh5JltY2b0aFdB6vs7EJFXAkfVgaPxzCco6AA==" saltValue="yuuLbHUAViOmOK5jNAlpJ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6" t="s">
        <v>191</v>
      </c>
      <c r="C3" s="96"/>
      <c r="D3" s="96"/>
      <c r="E3" s="96"/>
      <c r="F3" s="96"/>
      <c r="G3" s="1"/>
    </row>
    <row r="4" spans="1:7" ht="29.25" customHeight="1" x14ac:dyDescent="0.25">
      <c r="A4" s="1"/>
      <c r="B4" s="96"/>
      <c r="C4" s="96"/>
      <c r="D4" s="96"/>
      <c r="E4" s="96"/>
      <c r="F4" s="9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224</v>
      </c>
      <c r="C8" s="55"/>
      <c r="D8" s="55"/>
      <c r="E8" s="55"/>
      <c r="F8" s="20"/>
      <c r="G8" s="1"/>
    </row>
    <row r="9" spans="1:7" x14ac:dyDescent="0.25">
      <c r="A9" s="1"/>
      <c r="B9" s="97" t="s">
        <v>23</v>
      </c>
      <c r="C9" s="98"/>
      <c r="D9" s="99"/>
      <c r="E9" s="7">
        <v>15082246.411424801</v>
      </c>
      <c r="F9" s="8" t="s">
        <v>3</v>
      </c>
      <c r="G9" s="1"/>
    </row>
    <row r="10" spans="1:7" ht="15" customHeight="1" x14ac:dyDescent="0.25">
      <c r="A10" s="1"/>
      <c r="B10" s="90" t="s">
        <v>40</v>
      </c>
      <c r="C10" s="91"/>
      <c r="D10" s="92"/>
      <c r="E10" s="9">
        <v>0</v>
      </c>
      <c r="F10" s="8" t="s">
        <v>3</v>
      </c>
      <c r="G10" s="1"/>
    </row>
    <row r="11" spans="1:7" ht="15" customHeight="1" x14ac:dyDescent="0.25">
      <c r="A11" s="1"/>
      <c r="B11" s="90" t="s">
        <v>41</v>
      </c>
      <c r="C11" s="91"/>
      <c r="D11" s="92"/>
      <c r="E11" s="9">
        <v>0</v>
      </c>
      <c r="F11" s="8" t="s">
        <v>3</v>
      </c>
      <c r="G11" s="1"/>
    </row>
    <row r="12" spans="1:7" x14ac:dyDescent="0.25">
      <c r="A12" s="1"/>
      <c r="B12" s="90" t="s">
        <v>28</v>
      </c>
      <c r="C12" s="91"/>
      <c r="D12" s="92"/>
      <c r="E12" s="9">
        <v>0</v>
      </c>
      <c r="F12" s="8" t="s">
        <v>3</v>
      </c>
      <c r="G12" s="1"/>
    </row>
    <row r="13" spans="1:7" x14ac:dyDescent="0.25">
      <c r="A13" s="1"/>
      <c r="B13" s="90" t="s">
        <v>27</v>
      </c>
      <c r="C13" s="91"/>
      <c r="D13" s="92"/>
      <c r="E13" s="9">
        <v>0</v>
      </c>
      <c r="F13" s="8" t="s">
        <v>3</v>
      </c>
      <c r="G13" s="1"/>
    </row>
    <row r="14" spans="1:7" x14ac:dyDescent="0.25">
      <c r="A14" s="1"/>
      <c r="B14" s="90" t="s">
        <v>132</v>
      </c>
      <c r="C14" s="91"/>
      <c r="D14" s="92"/>
      <c r="E14" s="9">
        <v>0</v>
      </c>
      <c r="F14" s="8" t="s">
        <v>3</v>
      </c>
      <c r="G14" s="1"/>
    </row>
    <row r="15" spans="1:7" x14ac:dyDescent="0.25">
      <c r="A15" s="1"/>
      <c r="B15" s="90" t="s">
        <v>133</v>
      </c>
      <c r="C15" s="91"/>
      <c r="D15" s="92"/>
      <c r="E15" s="9">
        <v>0</v>
      </c>
      <c r="F15" s="8" t="s">
        <v>3</v>
      </c>
      <c r="G15" s="1"/>
    </row>
    <row r="16" spans="1:7" x14ac:dyDescent="0.25">
      <c r="A16" s="1"/>
      <c r="B16" s="90" t="s">
        <v>18</v>
      </c>
      <c r="C16" s="91"/>
      <c r="D16" s="92"/>
      <c r="E16" s="9">
        <v>184003.40621938257</v>
      </c>
      <c r="F16" s="8" t="s">
        <v>3</v>
      </c>
      <c r="G16" s="1"/>
    </row>
    <row r="17" spans="1:7" x14ac:dyDescent="0.25">
      <c r="A17" s="1"/>
      <c r="B17" s="90" t="s">
        <v>9</v>
      </c>
      <c r="C17" s="91"/>
      <c r="D17" s="92"/>
      <c r="E17" s="9">
        <v>0</v>
      </c>
      <c r="F17" s="8" t="s">
        <v>3</v>
      </c>
      <c r="G17" s="1"/>
    </row>
    <row r="18" spans="1:7" x14ac:dyDescent="0.25">
      <c r="A18" s="1"/>
      <c r="B18" s="90" t="s">
        <v>25</v>
      </c>
      <c r="C18" s="91"/>
      <c r="D18" s="92"/>
      <c r="E18" s="9">
        <v>-122729.22872564943</v>
      </c>
      <c r="F18" s="8" t="s">
        <v>3</v>
      </c>
      <c r="G18" s="1"/>
    </row>
    <row r="19" spans="1:7" x14ac:dyDescent="0.25">
      <c r="A19" s="1"/>
      <c r="B19" s="90" t="s">
        <v>26</v>
      </c>
      <c r="C19" s="91"/>
      <c r="D19" s="92"/>
      <c r="E19" s="9">
        <v>-257733.25135382992</v>
      </c>
      <c r="F19" s="8" t="s">
        <v>3</v>
      </c>
      <c r="G19" s="1"/>
    </row>
    <row r="20" spans="1:7" x14ac:dyDescent="0.25">
      <c r="A20" s="1"/>
      <c r="B20" s="103" t="s">
        <v>20</v>
      </c>
      <c r="C20" s="104"/>
      <c r="D20" s="105"/>
      <c r="E20" s="10">
        <f>SUM(E9:E19)</f>
        <v>14885787.337564703</v>
      </c>
      <c r="F20" s="11" t="s">
        <v>3</v>
      </c>
      <c r="G20" s="1"/>
    </row>
    <row r="21" spans="1:7" x14ac:dyDescent="0.25">
      <c r="A21" s="1"/>
      <c r="B21" s="54" t="s">
        <v>12</v>
      </c>
      <c r="C21" s="55"/>
      <c r="D21" s="55"/>
      <c r="E21" s="55"/>
      <c r="F21" s="20"/>
      <c r="G21" s="1"/>
    </row>
    <row r="22" spans="1:7" x14ac:dyDescent="0.25">
      <c r="A22" s="1"/>
      <c r="B22" s="93" t="s">
        <v>12</v>
      </c>
      <c r="C22" s="94"/>
      <c r="D22" s="95"/>
      <c r="E22" s="10">
        <v>12545357.727724921</v>
      </c>
      <c r="F22" s="11" t="s">
        <v>3</v>
      </c>
      <c r="G22" s="1"/>
    </row>
    <row r="23" spans="1:7" ht="15" customHeight="1" x14ac:dyDescent="0.25">
      <c r="A23" s="1"/>
      <c r="B23" s="109" t="s">
        <v>89</v>
      </c>
      <c r="C23" s="110"/>
      <c r="D23" s="110"/>
      <c r="E23" s="55"/>
      <c r="F23" s="55"/>
      <c r="G23" s="1"/>
    </row>
    <row r="24" spans="1:7" ht="14.25" customHeight="1" x14ac:dyDescent="0.25">
      <c r="A24" s="1"/>
      <c r="B24" s="100" t="s">
        <v>85</v>
      </c>
      <c r="C24" s="101"/>
      <c r="D24" s="102"/>
      <c r="E24" s="9">
        <v>0</v>
      </c>
      <c r="F24" s="8" t="s">
        <v>3</v>
      </c>
      <c r="G24" s="1"/>
    </row>
    <row r="25" spans="1:7" ht="14.25" customHeight="1" x14ac:dyDescent="0.25">
      <c r="A25" s="1"/>
      <c r="B25" s="100" t="s">
        <v>86</v>
      </c>
      <c r="C25" s="101"/>
      <c r="D25" s="102"/>
      <c r="E25" s="9">
        <v>0</v>
      </c>
      <c r="F25" s="8" t="s">
        <v>3</v>
      </c>
      <c r="G25" s="1"/>
    </row>
    <row r="26" spans="1:7" x14ac:dyDescent="0.25">
      <c r="A26" s="1"/>
      <c r="B26" s="106" t="s">
        <v>90</v>
      </c>
      <c r="C26" s="107"/>
      <c r="D26" s="107"/>
      <c r="E26" s="10">
        <v>0</v>
      </c>
      <c r="F26" s="11" t="s">
        <v>3</v>
      </c>
      <c r="G26" s="1"/>
    </row>
    <row r="27" spans="1:7" x14ac:dyDescent="0.25">
      <c r="A27" s="1"/>
      <c r="B27" s="54" t="s">
        <v>161</v>
      </c>
      <c r="C27" s="55"/>
      <c r="D27" s="55"/>
      <c r="E27" s="55"/>
      <c r="F27" s="20"/>
      <c r="G27" s="1"/>
    </row>
    <row r="28" spans="1:7" ht="15" customHeight="1" x14ac:dyDescent="0.25">
      <c r="A28" s="1"/>
      <c r="B28" s="106" t="s">
        <v>162</v>
      </c>
      <c r="C28" s="107"/>
      <c r="D28" s="108"/>
      <c r="E28" s="10">
        <v>0</v>
      </c>
      <c r="F28" s="11" t="s">
        <v>3</v>
      </c>
      <c r="G28" s="1"/>
    </row>
    <row r="29" spans="1:7" x14ac:dyDescent="0.25">
      <c r="A29" s="1"/>
      <c r="B29" s="54" t="s">
        <v>247</v>
      </c>
      <c r="C29" s="55"/>
      <c r="D29" s="55"/>
      <c r="E29" s="55"/>
      <c r="F29" s="20"/>
      <c r="G29" s="1"/>
    </row>
    <row r="30" spans="1:7" ht="15.6" customHeight="1" x14ac:dyDescent="0.25">
      <c r="A30" s="1"/>
      <c r="B30" s="93" t="s">
        <v>248</v>
      </c>
      <c r="C30" s="94"/>
      <c r="D30" s="95"/>
      <c r="E30" s="10">
        <v>0</v>
      </c>
      <c r="F30" s="11" t="s">
        <v>3</v>
      </c>
      <c r="G30" s="1"/>
    </row>
    <row r="31" spans="1:7" x14ac:dyDescent="0.25">
      <c r="A31" s="1"/>
      <c r="B31" s="54" t="s">
        <v>29</v>
      </c>
      <c r="C31" s="55"/>
      <c r="D31" s="55"/>
      <c r="E31" s="12">
        <f>E20+E22+E26+E28+E30</f>
        <v>27431145.065289624</v>
      </c>
      <c r="F31" s="13" t="s">
        <v>3</v>
      </c>
      <c r="G31" s="1"/>
    </row>
    <row r="32" spans="1:7" ht="27.75" customHeight="1" x14ac:dyDescent="0.25">
      <c r="A32" s="1"/>
      <c r="B32" s="100" t="s">
        <v>192</v>
      </c>
      <c r="C32" s="101"/>
      <c r="D32" s="101"/>
      <c r="E32" s="101"/>
      <c r="F32" s="10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ftsmlaQ3u4astfkCej+oPVvp7beqEZZiVhltWuCNjn5kBfEotNB4z9ExAq0l4eFKPRlbQdJWFF1ZkEjcAT83HA==" saltValue="3RS7McLftqHYjrQnllDk7g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6" t="s">
        <v>115</v>
      </c>
      <c r="C1" s="96"/>
      <c r="D1" s="96"/>
      <c r="E1" s="96"/>
      <c r="F1" s="96"/>
      <c r="G1" s="96"/>
      <c r="H1" s="96"/>
      <c r="I1" s="1"/>
    </row>
    <row r="2" spans="1:9" ht="15" customHeight="1" x14ac:dyDescent="0.25">
      <c r="A2" s="1"/>
      <c r="B2" s="96"/>
      <c r="C2" s="96"/>
      <c r="D2" s="96"/>
      <c r="E2" s="96"/>
      <c r="F2" s="96"/>
      <c r="G2" s="96"/>
      <c r="H2" s="96"/>
      <c r="I2" s="1"/>
    </row>
    <row r="3" spans="1:9" ht="15" customHeight="1" x14ac:dyDescent="0.25">
      <c r="A3" s="1"/>
      <c r="B3" s="96"/>
      <c r="C3" s="96"/>
      <c r="D3" s="96"/>
      <c r="E3" s="96"/>
      <c r="F3" s="96"/>
      <c r="G3" s="96"/>
      <c r="H3" s="96"/>
      <c r="I3" s="1"/>
    </row>
    <row r="4" spans="1:9" x14ac:dyDescent="0.25">
      <c r="A4" s="1"/>
      <c r="B4" s="111" t="s">
        <v>54</v>
      </c>
      <c r="C4" s="112"/>
      <c r="D4" s="112"/>
      <c r="E4" s="112"/>
      <c r="F4" s="112"/>
      <c r="G4" s="112"/>
      <c r="H4" s="113"/>
      <c r="I4" s="1"/>
    </row>
    <row r="5" spans="1:9" x14ac:dyDescent="0.25">
      <c r="A5" s="1"/>
      <c r="B5" s="114" t="s">
        <v>43</v>
      </c>
      <c r="C5" s="115"/>
      <c r="D5" s="115"/>
      <c r="E5" s="115"/>
      <c r="F5" s="116"/>
      <c r="G5" s="24">
        <v>6276392</v>
      </c>
      <c r="H5" s="14" t="s">
        <v>3</v>
      </c>
      <c r="I5" s="1"/>
    </row>
    <row r="6" spans="1:9" x14ac:dyDescent="0.25">
      <c r="A6" s="1"/>
      <c r="B6" s="114" t="s">
        <v>44</v>
      </c>
      <c r="C6" s="115"/>
      <c r="D6" s="115"/>
      <c r="E6" s="115"/>
      <c r="F6" s="116"/>
      <c r="G6" s="24">
        <f>G5*'Fane 12. Nøgletal'!C29</f>
        <v>125527.84</v>
      </c>
      <c r="H6" s="14" t="s">
        <v>3</v>
      </c>
      <c r="I6" s="1"/>
    </row>
    <row r="7" spans="1:9" x14ac:dyDescent="0.25">
      <c r="A7" s="1"/>
      <c r="B7" s="54"/>
      <c r="C7" s="55"/>
      <c r="D7" s="55"/>
      <c r="E7" s="55"/>
      <c r="F7" s="55"/>
      <c r="G7" s="5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1" t="s">
        <v>55</v>
      </c>
      <c r="C9" s="112"/>
      <c r="D9" s="112"/>
      <c r="E9" s="112"/>
      <c r="F9" s="112"/>
      <c r="G9" s="112"/>
      <c r="H9" s="113"/>
      <c r="I9" s="1"/>
    </row>
    <row r="10" spans="1:9" x14ac:dyDescent="0.25">
      <c r="A10" s="1"/>
      <c r="B10" s="114" t="s">
        <v>45</v>
      </c>
      <c r="C10" s="115"/>
      <c r="D10" s="115"/>
      <c r="E10" s="115"/>
      <c r="F10" s="116"/>
      <c r="G10" s="24">
        <f>(G5-G6)*(1+'Fane 12. Nøgletal'!C9)</f>
        <v>6228980.1348319994</v>
      </c>
      <c r="H10" s="14" t="s">
        <v>3</v>
      </c>
      <c r="I10" s="1"/>
    </row>
    <row r="11" spans="1:9" x14ac:dyDescent="0.25">
      <c r="A11" s="1"/>
      <c r="B11" s="117" t="s">
        <v>46</v>
      </c>
      <c r="C11" s="118"/>
      <c r="D11" s="118"/>
      <c r="E11" s="118"/>
      <c r="F11" s="119"/>
      <c r="G11" s="24">
        <v>0</v>
      </c>
      <c r="H11" s="14" t="s">
        <v>3</v>
      </c>
      <c r="I11" s="1"/>
    </row>
    <row r="12" spans="1:9" x14ac:dyDescent="0.25">
      <c r="A12" s="1"/>
      <c r="B12" s="114" t="s">
        <v>47</v>
      </c>
      <c r="C12" s="115"/>
      <c r="D12" s="115"/>
      <c r="E12" s="115"/>
      <c r="F12" s="116"/>
      <c r="G12" s="24">
        <f>(G10+G11)*'Fane 12. Nøgletal'!C29</f>
        <v>124579.60269663999</v>
      </c>
      <c r="H12" s="14" t="s">
        <v>3</v>
      </c>
      <c r="I12" s="1"/>
    </row>
    <row r="13" spans="1:9" x14ac:dyDescent="0.25">
      <c r="A13" s="1"/>
      <c r="B13" s="54"/>
      <c r="C13" s="55"/>
      <c r="D13" s="55"/>
      <c r="E13" s="55"/>
      <c r="F13" s="55"/>
      <c r="G13" s="55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1" t="s">
        <v>56</v>
      </c>
      <c r="C15" s="112"/>
      <c r="D15" s="112"/>
      <c r="E15" s="112"/>
      <c r="F15" s="112"/>
      <c r="G15" s="112"/>
      <c r="H15" s="113"/>
      <c r="I15" s="1"/>
    </row>
    <row r="16" spans="1:9" x14ac:dyDescent="0.25">
      <c r="A16" s="1"/>
      <c r="B16" s="114" t="s">
        <v>48</v>
      </c>
      <c r="C16" s="115"/>
      <c r="D16" s="115"/>
      <c r="E16" s="115"/>
      <c r="F16" s="116"/>
      <c r="G16" s="24">
        <f>(G10+G11-G12)*(1+'Fane 12. Nøgletal'!C11)</f>
        <v>6207564.9011284458</v>
      </c>
      <c r="H16" s="14" t="s">
        <v>3</v>
      </c>
      <c r="I16" s="1"/>
    </row>
    <row r="17" spans="1:9" x14ac:dyDescent="0.25">
      <c r="A17" s="1"/>
      <c r="B17" s="114" t="s">
        <v>125</v>
      </c>
      <c r="C17" s="115"/>
      <c r="D17" s="115"/>
      <c r="E17" s="115"/>
      <c r="F17" s="116"/>
      <c r="G17" s="24">
        <v>0.12488344300147113</v>
      </c>
      <c r="H17" s="14" t="s">
        <v>3</v>
      </c>
      <c r="I17" s="1"/>
    </row>
    <row r="18" spans="1:9" x14ac:dyDescent="0.25">
      <c r="A18" s="1"/>
      <c r="B18" s="117" t="s">
        <v>49</v>
      </c>
      <c r="C18" s="118"/>
      <c r="D18" s="118"/>
      <c r="E18" s="118"/>
      <c r="F18" s="119"/>
      <c r="G18" s="24">
        <v>0</v>
      </c>
      <c r="H18" s="14" t="s">
        <v>3</v>
      </c>
      <c r="I18" s="1"/>
    </row>
    <row r="19" spans="1:9" x14ac:dyDescent="0.25">
      <c r="A19" s="1"/>
      <c r="B19" s="114" t="s">
        <v>50</v>
      </c>
      <c r="C19" s="115"/>
      <c r="D19" s="115"/>
      <c r="E19" s="115"/>
      <c r="F19" s="116"/>
      <c r="G19" s="24">
        <f>SUM(G16:G18)*'Fane 12. Nøgletal'!C29</f>
        <v>124151.30052023778</v>
      </c>
      <c r="H19" s="14" t="s">
        <v>3</v>
      </c>
      <c r="I19" s="1"/>
    </row>
    <row r="20" spans="1:9" x14ac:dyDescent="0.25">
      <c r="A20" s="1"/>
      <c r="B20" s="54"/>
      <c r="C20" s="55"/>
      <c r="D20" s="55"/>
      <c r="E20" s="55"/>
      <c r="F20" s="55"/>
      <c r="G20" s="55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1" t="s">
        <v>57</v>
      </c>
      <c r="C22" s="112"/>
      <c r="D22" s="112"/>
      <c r="E22" s="112"/>
      <c r="F22" s="112"/>
      <c r="G22" s="112"/>
      <c r="H22" s="113"/>
      <c r="I22" s="1"/>
    </row>
    <row r="23" spans="1:9" x14ac:dyDescent="0.25">
      <c r="A23" s="1"/>
      <c r="B23" s="114" t="s">
        <v>51</v>
      </c>
      <c r="C23" s="115"/>
      <c r="D23" s="115"/>
      <c r="E23" s="115"/>
      <c r="F23" s="116"/>
      <c r="G23" s="24">
        <f>(SUM(G16:G18)-G19)*(1+'Fane 12. Nøgletal'!C11)</f>
        <v>6186223.4174524602</v>
      </c>
      <c r="H23" s="14" t="s">
        <v>3</v>
      </c>
      <c r="I23" s="1"/>
    </row>
    <row r="24" spans="1:9" x14ac:dyDescent="0.25">
      <c r="A24" s="1"/>
      <c r="B24" s="117" t="s">
        <v>52</v>
      </c>
      <c r="C24" s="118"/>
      <c r="D24" s="118"/>
      <c r="E24" s="118"/>
      <c r="F24" s="119"/>
      <c r="G24" s="24">
        <v>0</v>
      </c>
      <c r="H24" s="14" t="s">
        <v>3</v>
      </c>
      <c r="I24" s="1"/>
    </row>
    <row r="25" spans="1:9" x14ac:dyDescent="0.25">
      <c r="A25" s="1"/>
      <c r="B25" s="114" t="s">
        <v>53</v>
      </c>
      <c r="C25" s="115"/>
      <c r="D25" s="115"/>
      <c r="E25" s="115"/>
      <c r="F25" s="116"/>
      <c r="G25" s="24">
        <f>(G23+G24)*'Fane 12. Nøgletal'!C29</f>
        <v>123724.4683490492</v>
      </c>
      <c r="H25" s="14" t="s">
        <v>3</v>
      </c>
      <c r="I25" s="1"/>
    </row>
    <row r="26" spans="1:9" x14ac:dyDescent="0.25">
      <c r="A26" s="1"/>
      <c r="B26" s="54"/>
      <c r="C26" s="55"/>
      <c r="D26" s="55"/>
      <c r="E26" s="55"/>
      <c r="F26" s="55"/>
      <c r="G26" s="55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1" t="s">
        <v>175</v>
      </c>
      <c r="C28" s="112"/>
      <c r="D28" s="112"/>
      <c r="E28" s="112"/>
      <c r="F28" s="112"/>
      <c r="G28" s="112"/>
      <c r="H28" s="113"/>
      <c r="I28" s="1"/>
    </row>
    <row r="29" spans="1:9" x14ac:dyDescent="0.25">
      <c r="A29" s="1"/>
      <c r="B29" s="114" t="s">
        <v>60</v>
      </c>
      <c r="C29" s="115"/>
      <c r="D29" s="115"/>
      <c r="E29" s="115"/>
      <c r="F29" s="116"/>
      <c r="G29" s="24">
        <f>(G23+G24-G25)*(1+'Fane 12. Nøgletal'!C13)</f>
        <v>6136461.4362824727</v>
      </c>
      <c r="H29" s="14" t="s">
        <v>3</v>
      </c>
      <c r="I29" s="1"/>
    </row>
    <row r="30" spans="1:9" x14ac:dyDescent="0.25">
      <c r="A30" s="1"/>
      <c r="B30" s="114" t="s">
        <v>147</v>
      </c>
      <c r="C30" s="115"/>
      <c r="D30" s="115"/>
      <c r="E30" s="115"/>
      <c r="F30" s="116"/>
      <c r="G30" s="24">
        <f>SUM('Fane 3. Omkostninger i ØR2021'!E10,'Fane 3. Omkostninger i ØR2021'!E12,'Fane 3. Omkostninger i ØR2021'!E14)*(1+'Fane 12. Nøgletal'!C13)</f>
        <v>0</v>
      </c>
      <c r="H30" s="14" t="s">
        <v>3</v>
      </c>
      <c r="I30" s="1"/>
    </row>
    <row r="31" spans="1:9" x14ac:dyDescent="0.25">
      <c r="A31" s="1"/>
      <c r="B31" s="114" t="s">
        <v>159</v>
      </c>
      <c r="C31" s="115"/>
      <c r="D31" s="115"/>
      <c r="E31" s="115"/>
      <c r="F31" s="116"/>
      <c r="G31" s="24">
        <f>(G29+G30)*'Fane 12. Nøgletal'!C29</f>
        <v>122729.22872564946</v>
      </c>
      <c r="H31" s="14" t="s">
        <v>3</v>
      </c>
      <c r="I31" s="1"/>
    </row>
    <row r="32" spans="1:9" x14ac:dyDescent="0.25">
      <c r="A32" s="1"/>
      <c r="B32" s="54"/>
      <c r="C32" s="55"/>
      <c r="D32" s="55"/>
      <c r="E32" s="55"/>
      <c r="F32" s="55"/>
      <c r="G32" s="55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1" t="s">
        <v>176</v>
      </c>
      <c r="C34" s="112"/>
      <c r="D34" s="112"/>
      <c r="E34" s="112"/>
      <c r="F34" s="112"/>
      <c r="G34" s="112"/>
      <c r="H34" s="113"/>
      <c r="I34" s="1"/>
    </row>
    <row r="35" spans="1:9" x14ac:dyDescent="0.25">
      <c r="A35" s="1"/>
      <c r="B35" s="114" t="s">
        <v>80</v>
      </c>
      <c r="C35" s="115"/>
      <c r="D35" s="115"/>
      <c r="E35" s="115"/>
      <c r="F35" s="116"/>
      <c r="G35" s="24">
        <f>(G29+G30-G31)*(1+'Fane 12. Nøgletal'!C13)</f>
        <v>6087099.7404890163</v>
      </c>
      <c r="H35" s="14" t="s">
        <v>3</v>
      </c>
      <c r="I35" s="1"/>
    </row>
    <row r="36" spans="1:9" x14ac:dyDescent="0.25">
      <c r="A36" s="1"/>
      <c r="B36" s="37" t="s">
        <v>193</v>
      </c>
      <c r="C36" s="60"/>
      <c r="D36" s="60"/>
      <c r="E36" s="60"/>
      <c r="F36" s="61"/>
      <c r="G36" s="24">
        <f>SUM('Fane 2.1. Økonomisk ramme 2022'!C10)*(1+'Fane 12. Nøgletal'!C14)</f>
        <v>0</v>
      </c>
      <c r="H36" s="14" t="s">
        <v>3</v>
      </c>
      <c r="I36" s="1"/>
    </row>
    <row r="37" spans="1:9" x14ac:dyDescent="0.25">
      <c r="A37" s="1"/>
      <c r="B37" s="114" t="s">
        <v>222</v>
      </c>
      <c r="C37" s="115"/>
      <c r="D37" s="115"/>
      <c r="E37" s="115"/>
      <c r="F37" s="116"/>
      <c r="G37" s="24">
        <f>SUM('Fane 2.1. Økonomisk ramme 2022'!C12,'Fane 2.1. Økonomisk ramme 2022'!C14,'Fane 2.1. Økonomisk ramme 2022'!C16)*(1+'Fane 12. Nøgletal'!C14)</f>
        <v>227817.18323569003</v>
      </c>
      <c r="H37" s="14" t="s">
        <v>3</v>
      </c>
      <c r="I37" s="1"/>
    </row>
    <row r="38" spans="1:9" x14ac:dyDescent="0.25">
      <c r="A38" s="1"/>
      <c r="B38" s="114" t="s">
        <v>177</v>
      </c>
      <c r="C38" s="115"/>
      <c r="D38" s="115"/>
      <c r="E38" s="115"/>
      <c r="F38" s="116"/>
      <c r="G38" s="24">
        <f>(G35+G37)*'Fane 12. Nøgletal'!C29</f>
        <v>126298.33847449413</v>
      </c>
      <c r="H38" s="14" t="s">
        <v>3</v>
      </c>
      <c r="I38" s="1"/>
    </row>
    <row r="39" spans="1:9" x14ac:dyDescent="0.25">
      <c r="A39" s="1"/>
      <c r="B39" s="54"/>
      <c r="C39" s="55"/>
      <c r="D39" s="55"/>
      <c r="E39" s="55"/>
      <c r="F39" s="55"/>
      <c r="G39" s="55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1" t="s">
        <v>81</v>
      </c>
      <c r="C41" s="112"/>
      <c r="D41" s="112"/>
      <c r="E41" s="112"/>
      <c r="F41" s="112"/>
      <c r="G41" s="112"/>
      <c r="H41" s="113"/>
      <c r="I41" s="1"/>
    </row>
    <row r="42" spans="1:9" x14ac:dyDescent="0.25">
      <c r="A42" s="1"/>
      <c r="B42" s="114" t="s">
        <v>79</v>
      </c>
      <c r="C42" s="115"/>
      <c r="D42" s="115"/>
      <c r="E42" s="115"/>
      <c r="F42" s="116"/>
      <c r="G42" s="24">
        <f>(G35+G37-G38)*(1+'Fane 12. Nøgletal'!C14)</f>
        <v>6209041.0265815379</v>
      </c>
      <c r="H42" s="14" t="s">
        <v>3</v>
      </c>
      <c r="I42" s="1"/>
    </row>
    <row r="43" spans="1:9" x14ac:dyDescent="0.25">
      <c r="A43" s="1"/>
      <c r="B43" s="114" t="s">
        <v>92</v>
      </c>
      <c r="C43" s="115"/>
      <c r="D43" s="115"/>
      <c r="E43" s="115"/>
      <c r="F43" s="116"/>
      <c r="G43" s="24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4" t="s">
        <v>61</v>
      </c>
      <c r="C44" s="115"/>
      <c r="D44" s="115"/>
      <c r="E44" s="115"/>
      <c r="F44" s="116"/>
      <c r="G44" s="24">
        <f>(G42+G43)*'Fane 12. Nøgletal'!C29</f>
        <v>124180.82053163076</v>
      </c>
      <c r="H44" s="14" t="s">
        <v>3</v>
      </c>
      <c r="I44" s="1"/>
    </row>
    <row r="45" spans="1:9" x14ac:dyDescent="0.25">
      <c r="A45" s="1"/>
      <c r="B45" s="54"/>
      <c r="C45" s="55"/>
      <c r="D45" s="55"/>
      <c r="E45" s="55"/>
      <c r="F45" s="55"/>
      <c r="G45" s="55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1" t="s">
        <v>148</v>
      </c>
      <c r="C47" s="112"/>
      <c r="D47" s="112"/>
      <c r="E47" s="112"/>
      <c r="F47" s="112"/>
      <c r="G47" s="112"/>
      <c r="H47" s="113"/>
      <c r="I47" s="1"/>
    </row>
    <row r="48" spans="1:9" x14ac:dyDescent="0.25">
      <c r="A48" s="1"/>
      <c r="B48" s="114" t="s">
        <v>149</v>
      </c>
      <c r="C48" s="115"/>
      <c r="D48" s="115"/>
      <c r="E48" s="115"/>
      <c r="F48" s="116"/>
      <c r="G48" s="24">
        <f>(G42+G43-G44)*(1+'Fane 12. Nøgletal'!C14)</f>
        <v>6104940.2447298719</v>
      </c>
      <c r="H48" s="14" t="s">
        <v>3</v>
      </c>
      <c r="I48" s="1"/>
    </row>
    <row r="49" spans="1:9" x14ac:dyDescent="0.25">
      <c r="A49" s="1"/>
      <c r="B49" s="114" t="s">
        <v>150</v>
      </c>
      <c r="C49" s="115"/>
      <c r="D49" s="115"/>
      <c r="E49" s="115"/>
      <c r="F49" s="116"/>
      <c r="G49" s="24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4" t="s">
        <v>151</v>
      </c>
      <c r="C50" s="115"/>
      <c r="D50" s="115"/>
      <c r="E50" s="115"/>
      <c r="F50" s="116"/>
      <c r="G50" s="24">
        <f>(G48+G49)*'Fane 12. Nøgletal'!C29</f>
        <v>122098.80489459744</v>
      </c>
      <c r="H50" s="14" t="s">
        <v>3</v>
      </c>
      <c r="I50" s="1"/>
    </row>
    <row r="51" spans="1:9" x14ac:dyDescent="0.25">
      <c r="A51" s="1"/>
      <c r="B51" s="54"/>
      <c r="C51" s="55"/>
      <c r="D51" s="55"/>
      <c r="E51" s="55"/>
      <c r="F51" s="55"/>
      <c r="G51" s="55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1" t="s">
        <v>199</v>
      </c>
      <c r="C53" s="112"/>
      <c r="D53" s="112"/>
      <c r="E53" s="112"/>
      <c r="F53" s="112"/>
      <c r="G53" s="112"/>
      <c r="H53" s="113"/>
      <c r="I53" s="1"/>
    </row>
    <row r="54" spans="1:9" x14ac:dyDescent="0.25">
      <c r="A54" s="1"/>
      <c r="B54" s="114" t="s">
        <v>200</v>
      </c>
      <c r="C54" s="115"/>
      <c r="D54" s="115"/>
      <c r="E54" s="115"/>
      <c r="F54" s="116"/>
      <c r="G54" s="24">
        <f>(G48+G49-G50)*(1+'Fane 12. Nøgletal'!C14)</f>
        <v>6002584.8165867319</v>
      </c>
      <c r="H54" s="14" t="s">
        <v>3</v>
      </c>
      <c r="I54" s="1"/>
    </row>
    <row r="55" spans="1:9" x14ac:dyDescent="0.25">
      <c r="A55" s="1"/>
      <c r="B55" s="114" t="s">
        <v>201</v>
      </c>
      <c r="C55" s="115"/>
      <c r="D55" s="115"/>
      <c r="E55" s="115"/>
      <c r="F55" s="116"/>
      <c r="G55" s="24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4" t="s">
        <v>202</v>
      </c>
      <c r="C56" s="115"/>
      <c r="D56" s="115"/>
      <c r="E56" s="115"/>
      <c r="F56" s="116"/>
      <c r="G56" s="24">
        <f>(G54+G55)*'Fane 12. Nøgletal'!C29</f>
        <v>120051.69633173464</v>
      </c>
      <c r="H56" s="14" t="s">
        <v>3</v>
      </c>
      <c r="I56" s="1"/>
    </row>
    <row r="57" spans="1:9" x14ac:dyDescent="0.25">
      <c r="A57" s="1"/>
      <c r="B57" s="54"/>
      <c r="C57" s="55"/>
      <c r="D57" s="55"/>
      <c r="E57" s="55"/>
      <c r="F57" s="55"/>
      <c r="G57" s="55"/>
      <c r="H57" s="20"/>
      <c r="I57" s="1"/>
    </row>
  </sheetData>
  <sheetProtection algorithmName="SHA-512" hashValue="zf6w8Vxetzexa8SXM+21pow4O1RW/jC6PjhDFGo0LfEgehiJdakExYd1XU0/67SWetne2uDKUe2WSxwdVf2cMg==" saltValue="5N5H9j8VILzQtZaeONeP4g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zoomScale="120" zoomScaleNormal="12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0" t="s">
        <v>116</v>
      </c>
      <c r="C1" s="121"/>
      <c r="D1" s="121"/>
      <c r="E1" s="121"/>
      <c r="F1" s="121"/>
      <c r="G1" s="121"/>
      <c r="H1" s="121"/>
      <c r="I1" s="1"/>
    </row>
    <row r="2" spans="1:9" ht="19.899999999999999" customHeight="1" x14ac:dyDescent="0.25">
      <c r="A2" s="1"/>
      <c r="B2" s="121"/>
      <c r="C2" s="121"/>
      <c r="D2" s="121"/>
      <c r="E2" s="121"/>
      <c r="F2" s="121"/>
      <c r="G2" s="121"/>
      <c r="H2" s="121"/>
      <c r="I2" s="1"/>
    </row>
    <row r="3" spans="1:9" ht="15" customHeight="1" x14ac:dyDescent="0.25">
      <c r="A3" s="1"/>
      <c r="B3" s="122"/>
      <c r="C3" s="122"/>
      <c r="D3" s="122"/>
      <c r="E3" s="122"/>
      <c r="F3" s="122"/>
      <c r="G3" s="122"/>
      <c r="H3" s="122"/>
      <c r="I3" s="1"/>
    </row>
    <row r="4" spans="1:9" x14ac:dyDescent="0.25">
      <c r="A4" s="1"/>
      <c r="B4" s="111" t="s">
        <v>58</v>
      </c>
      <c r="C4" s="112"/>
      <c r="D4" s="112"/>
      <c r="E4" s="112"/>
      <c r="F4" s="112"/>
      <c r="G4" s="112"/>
      <c r="H4" s="113"/>
      <c r="I4" s="1"/>
    </row>
    <row r="5" spans="1:9" x14ac:dyDescent="0.25">
      <c r="A5" s="1"/>
      <c r="B5" s="114" t="s">
        <v>62</v>
      </c>
      <c r="C5" s="115"/>
      <c r="D5" s="115"/>
      <c r="E5" s="115"/>
      <c r="F5" s="116"/>
      <c r="G5" s="24">
        <v>9221894</v>
      </c>
      <c r="H5" s="14" t="s">
        <v>3</v>
      </c>
      <c r="I5" s="1"/>
    </row>
    <row r="6" spans="1:9" x14ac:dyDescent="0.25">
      <c r="A6" s="1"/>
      <c r="B6" s="114" t="s">
        <v>59</v>
      </c>
      <c r="C6" s="115"/>
      <c r="D6" s="115"/>
      <c r="E6" s="115"/>
      <c r="F6" s="116"/>
      <c r="G6" s="24">
        <f>G5*'Fane 12. Nøgletal'!C19</f>
        <v>83919.235400000005</v>
      </c>
      <c r="H6" s="14" t="s">
        <v>3</v>
      </c>
      <c r="I6" s="1"/>
    </row>
    <row r="7" spans="1:9" x14ac:dyDescent="0.25">
      <c r="A7" s="1"/>
      <c r="B7" s="54"/>
      <c r="C7" s="55"/>
      <c r="D7" s="55"/>
      <c r="E7" s="55"/>
      <c r="F7" s="55"/>
      <c r="G7" s="5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1" t="s">
        <v>63</v>
      </c>
      <c r="C9" s="112"/>
      <c r="D9" s="112"/>
      <c r="E9" s="112"/>
      <c r="F9" s="112"/>
      <c r="G9" s="112"/>
      <c r="H9" s="113"/>
      <c r="I9" s="1"/>
    </row>
    <row r="10" spans="1:9" x14ac:dyDescent="0.25">
      <c r="A10" s="1"/>
      <c r="B10" s="114" t="s">
        <v>64</v>
      </c>
      <c r="C10" s="115"/>
      <c r="D10" s="115"/>
      <c r="E10" s="115"/>
      <c r="F10" s="116"/>
      <c r="G10" s="24">
        <f>(G5-G6)*(1+'Fane 12. Nøgletal'!C9)</f>
        <v>9254027.0441104192</v>
      </c>
      <c r="H10" s="14" t="s">
        <v>3</v>
      </c>
      <c r="I10" s="1"/>
    </row>
    <row r="11" spans="1:9" x14ac:dyDescent="0.25">
      <c r="A11" s="1"/>
      <c r="B11" s="117" t="s">
        <v>65</v>
      </c>
      <c r="C11" s="118"/>
      <c r="D11" s="118"/>
      <c r="E11" s="118"/>
      <c r="F11" s="119"/>
      <c r="G11" s="24">
        <v>0</v>
      </c>
      <c r="H11" s="14" t="s">
        <v>3</v>
      </c>
      <c r="I11" s="1"/>
    </row>
    <row r="12" spans="1:9" x14ac:dyDescent="0.25">
      <c r="A12" s="1"/>
      <c r="B12" s="114" t="s">
        <v>66</v>
      </c>
      <c r="C12" s="115"/>
      <c r="D12" s="115"/>
      <c r="E12" s="115"/>
      <c r="F12" s="116"/>
      <c r="G12" s="24">
        <f>G10*'Fane 12. Nøgletal'!C19+G11*'Fane 12. Nøgletal'!C20</f>
        <v>84211.646101404825</v>
      </c>
      <c r="H12" s="14" t="s">
        <v>3</v>
      </c>
      <c r="I12" s="1"/>
    </row>
    <row r="13" spans="1:9" x14ac:dyDescent="0.25">
      <c r="A13" s="1"/>
      <c r="B13" s="54"/>
      <c r="C13" s="55"/>
      <c r="D13" s="55"/>
      <c r="E13" s="55"/>
      <c r="F13" s="55"/>
      <c r="G13" s="55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1" t="s">
        <v>67</v>
      </c>
      <c r="C15" s="112"/>
      <c r="D15" s="112"/>
      <c r="E15" s="112"/>
      <c r="F15" s="112"/>
      <c r="G15" s="112"/>
      <c r="H15" s="113"/>
      <c r="I15" s="1"/>
    </row>
    <row r="16" spans="1:9" x14ac:dyDescent="0.25">
      <c r="A16" s="1"/>
      <c r="B16" s="114" t="s">
        <v>68</v>
      </c>
      <c r="C16" s="115"/>
      <c r="D16" s="115"/>
      <c r="E16" s="115"/>
      <c r="F16" s="116"/>
      <c r="G16" s="24">
        <f>(G10+G11-G12)*(1+'Fane 12. Nøgletal'!C11)</f>
        <v>9324785.2782353666</v>
      </c>
      <c r="H16" s="14" t="s">
        <v>3</v>
      </c>
      <c r="I16" s="1"/>
    </row>
    <row r="17" spans="1:9" x14ac:dyDescent="0.25">
      <c r="A17" s="1"/>
      <c r="B17" s="114" t="s">
        <v>126</v>
      </c>
      <c r="C17" s="115"/>
      <c r="D17" s="115"/>
      <c r="E17" s="115"/>
      <c r="F17" s="116"/>
      <c r="G17" s="24">
        <v>-58984.335777304375</v>
      </c>
      <c r="H17" s="14" t="s">
        <v>3</v>
      </c>
      <c r="I17" s="1"/>
    </row>
    <row r="18" spans="1:9" x14ac:dyDescent="0.25">
      <c r="A18" s="1"/>
      <c r="B18" s="117" t="s">
        <v>69</v>
      </c>
      <c r="C18" s="118"/>
      <c r="D18" s="118"/>
      <c r="E18" s="118"/>
      <c r="F18" s="119"/>
      <c r="G18" s="24">
        <v>0</v>
      </c>
      <c r="H18" s="14" t="s">
        <v>3</v>
      </c>
      <c r="I18" s="1"/>
    </row>
    <row r="19" spans="1:9" x14ac:dyDescent="0.25">
      <c r="A19" s="1"/>
      <c r="B19" s="114" t="s">
        <v>70</v>
      </c>
      <c r="C19" s="115"/>
      <c r="D19" s="115"/>
      <c r="E19" s="115"/>
      <c r="F19" s="116"/>
      <c r="G19" s="24">
        <f>(G16+G17+G18)*'Fane 12. Nøgletal'!C21</f>
        <v>80612.468199385126</v>
      </c>
      <c r="H19" s="14" t="s">
        <v>3</v>
      </c>
      <c r="I19" s="1"/>
    </row>
    <row r="20" spans="1:9" x14ac:dyDescent="0.25">
      <c r="A20" s="1"/>
      <c r="B20" s="54"/>
      <c r="C20" s="55"/>
      <c r="D20" s="55"/>
      <c r="E20" s="55"/>
      <c r="F20" s="55"/>
      <c r="G20" s="55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1" t="s">
        <v>71</v>
      </c>
      <c r="C22" s="112"/>
      <c r="D22" s="112"/>
      <c r="E22" s="112"/>
      <c r="F22" s="112"/>
      <c r="G22" s="112"/>
      <c r="H22" s="113"/>
      <c r="I22" s="1"/>
    </row>
    <row r="23" spans="1:9" x14ac:dyDescent="0.25">
      <c r="A23" s="1"/>
      <c r="B23" s="114" t="s">
        <v>72</v>
      </c>
      <c r="C23" s="115"/>
      <c r="D23" s="115"/>
      <c r="E23" s="115"/>
      <c r="F23" s="116"/>
      <c r="G23" s="24">
        <f>(SUM(G16:G18)-G19)*(1+'Fane 12. Nøgletal'!C11)</f>
        <v>9340418.1594736464</v>
      </c>
      <c r="H23" s="14" t="s">
        <v>3</v>
      </c>
      <c r="I23" s="1"/>
    </row>
    <row r="24" spans="1:9" x14ac:dyDescent="0.25">
      <c r="A24" s="1"/>
      <c r="B24" s="117" t="s">
        <v>73</v>
      </c>
      <c r="C24" s="118"/>
      <c r="D24" s="118"/>
      <c r="E24" s="118"/>
      <c r="F24" s="119"/>
      <c r="G24" s="24">
        <v>0</v>
      </c>
      <c r="H24" s="14" t="s">
        <v>3</v>
      </c>
      <c r="I24" s="1"/>
    </row>
    <row r="25" spans="1:9" x14ac:dyDescent="0.25">
      <c r="A25" s="1"/>
      <c r="B25" s="114" t="s">
        <v>74</v>
      </c>
      <c r="C25" s="115"/>
      <c r="D25" s="115"/>
      <c r="E25" s="115"/>
      <c r="F25" s="116"/>
      <c r="G25" s="24">
        <f>G23*'Fane 12. Nøgletal'!C21+G24*'Fane 12. Nøgletal'!C22</f>
        <v>81261.63798742072</v>
      </c>
      <c r="H25" s="14" t="s">
        <v>3</v>
      </c>
      <c r="I25" s="1"/>
    </row>
    <row r="26" spans="1:9" x14ac:dyDescent="0.25">
      <c r="A26" s="1"/>
      <c r="B26" s="54"/>
      <c r="C26" s="55"/>
      <c r="D26" s="55"/>
      <c r="E26" s="55"/>
      <c r="F26" s="55"/>
      <c r="G26" s="55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1" t="s">
        <v>173</v>
      </c>
      <c r="C28" s="112"/>
      <c r="D28" s="112"/>
      <c r="E28" s="112"/>
      <c r="F28" s="112"/>
      <c r="G28" s="112"/>
      <c r="H28" s="113"/>
      <c r="I28" s="1"/>
    </row>
    <row r="29" spans="1:9" x14ac:dyDescent="0.25">
      <c r="A29" s="1"/>
      <c r="B29" s="114" t="s">
        <v>75</v>
      </c>
      <c r="C29" s="115"/>
      <c r="D29" s="115"/>
      <c r="E29" s="115"/>
      <c r="F29" s="116"/>
      <c r="G29" s="24">
        <f>(G23+G24-G25)*(1+'Fane 12. Nøgletal'!C13)</f>
        <v>9372118.2310483586</v>
      </c>
      <c r="H29" s="14" t="s">
        <v>3</v>
      </c>
      <c r="I29" s="1"/>
    </row>
    <row r="30" spans="1:9" x14ac:dyDescent="0.25">
      <c r="A30" s="1"/>
      <c r="B30" s="114" t="s">
        <v>152</v>
      </c>
      <c r="C30" s="115"/>
      <c r="D30" s="115"/>
      <c r="E30" s="115"/>
      <c r="F30" s="116"/>
      <c r="G30" s="24">
        <v>0</v>
      </c>
      <c r="H30" s="14" t="s">
        <v>3</v>
      </c>
      <c r="I30" s="1"/>
    </row>
    <row r="31" spans="1:9" x14ac:dyDescent="0.25">
      <c r="A31" s="1"/>
      <c r="B31" s="114" t="s">
        <v>174</v>
      </c>
      <c r="C31" s="115"/>
      <c r="D31" s="115"/>
      <c r="E31" s="115"/>
      <c r="F31" s="116"/>
      <c r="G31" s="24">
        <f>(G29+G30)*'Fane 12. Nøgletal'!C23</f>
        <v>257733.25135382987</v>
      </c>
      <c r="H31" s="14" t="s">
        <v>3</v>
      </c>
      <c r="I31" s="1"/>
    </row>
    <row r="32" spans="1:9" x14ac:dyDescent="0.25">
      <c r="A32" s="1"/>
      <c r="B32" s="54"/>
      <c r="C32" s="55"/>
      <c r="D32" s="55"/>
      <c r="E32" s="55"/>
      <c r="F32" s="55"/>
      <c r="G32" s="55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1" t="s">
        <v>178</v>
      </c>
      <c r="C34" s="112"/>
      <c r="D34" s="112"/>
      <c r="E34" s="112"/>
      <c r="F34" s="112"/>
      <c r="G34" s="112"/>
      <c r="H34" s="113"/>
      <c r="I34" s="1"/>
    </row>
    <row r="35" spans="1:9" x14ac:dyDescent="0.25">
      <c r="A35" s="1"/>
      <c r="B35" s="114" t="s">
        <v>78</v>
      </c>
      <c r="C35" s="115"/>
      <c r="D35" s="115"/>
      <c r="E35" s="115"/>
      <c r="F35" s="116"/>
      <c r="G35" s="24">
        <f>(G29+G30-G31)*(1+'Fane 12. Nøgletal'!C13)</f>
        <v>9225580.4764468018</v>
      </c>
      <c r="H35" s="14" t="s">
        <v>3</v>
      </c>
      <c r="I35" s="1"/>
    </row>
    <row r="36" spans="1:9" s="41" customFormat="1" x14ac:dyDescent="0.25">
      <c r="A36" s="38"/>
      <c r="B36" s="37" t="s">
        <v>223</v>
      </c>
      <c r="C36" s="39"/>
      <c r="D36" s="39"/>
      <c r="E36" s="39"/>
      <c r="F36" s="40"/>
      <c r="G36" s="42">
        <f>SUM('Fane 2.1. Økonomisk ramme 2022'!C11)*(1+'Fane 12. Nøgletal'!C14)</f>
        <v>0</v>
      </c>
      <c r="H36" s="14" t="s">
        <v>3</v>
      </c>
      <c r="I36" s="38"/>
    </row>
    <row r="37" spans="1:9" x14ac:dyDescent="0.25">
      <c r="A37" s="1"/>
      <c r="B37" s="114" t="s">
        <v>194</v>
      </c>
      <c r="C37" s="115"/>
      <c r="D37" s="115"/>
      <c r="E37" s="115"/>
      <c r="F37" s="116"/>
      <c r="G37" s="24">
        <f>SUM('Fane 2.1. Økonomisk ramme 2022'!C13,'Fane 2.1. Økonomisk ramme 2022'!C15,'Fane 2.1. Økonomisk ramme 2022'!C17)*(1+'Fane 12. Nøgletal'!C14)</f>
        <v>204244.36941367004</v>
      </c>
      <c r="H37" s="14" t="s">
        <v>3</v>
      </c>
      <c r="I37" s="1"/>
    </row>
    <row r="38" spans="1:9" x14ac:dyDescent="0.25">
      <c r="A38" s="1"/>
      <c r="B38" s="114" t="s">
        <v>179</v>
      </c>
      <c r="C38" s="115"/>
      <c r="D38" s="115"/>
      <c r="E38" s="115"/>
      <c r="F38" s="116"/>
      <c r="G38" s="24">
        <f>G35*'Fane 12. Nøgletal'!C23+G37*'Fane 12. Nøgletal'!C24</f>
        <v>256726.27976960939</v>
      </c>
      <c r="H38" s="14" t="s">
        <v>3</v>
      </c>
      <c r="I38" s="1"/>
    </row>
    <row r="39" spans="1:9" x14ac:dyDescent="0.25">
      <c r="A39" s="1"/>
      <c r="B39" s="54"/>
      <c r="C39" s="55"/>
      <c r="D39" s="55"/>
      <c r="E39" s="55"/>
      <c r="F39" s="55"/>
      <c r="G39" s="55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1" t="s">
        <v>82</v>
      </c>
      <c r="C41" s="112"/>
      <c r="D41" s="112"/>
      <c r="E41" s="112"/>
      <c r="F41" s="112"/>
      <c r="G41" s="112"/>
      <c r="H41" s="113"/>
      <c r="I41" s="1"/>
    </row>
    <row r="42" spans="1:9" x14ac:dyDescent="0.25">
      <c r="A42" s="1"/>
      <c r="B42" s="114" t="s">
        <v>77</v>
      </c>
      <c r="C42" s="115"/>
      <c r="D42" s="115"/>
      <c r="E42" s="115"/>
      <c r="F42" s="116"/>
      <c r="G42" s="24">
        <f>(G35+G37-G38)*(1+'Fane 12. Nøgletal'!C14)</f>
        <v>9203369.7913589645</v>
      </c>
      <c r="H42" s="14" t="s">
        <v>3</v>
      </c>
      <c r="I42" s="1"/>
    </row>
    <row r="43" spans="1:9" x14ac:dyDescent="0.25">
      <c r="A43" s="1"/>
      <c r="B43" s="114" t="s">
        <v>96</v>
      </c>
      <c r="C43" s="115"/>
      <c r="D43" s="115"/>
      <c r="E43" s="115"/>
      <c r="F43" s="116"/>
      <c r="G43" s="24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4" t="s">
        <v>76</v>
      </c>
      <c r="C44" s="115"/>
      <c r="D44" s="115"/>
      <c r="E44" s="115"/>
      <c r="F44" s="116"/>
      <c r="G44" s="24">
        <f>(G42+G43)*'Fane 12. Nøgletal'!C24</f>
        <v>136209.87291211268</v>
      </c>
      <c r="H44" s="14" t="s">
        <v>3</v>
      </c>
      <c r="I44" s="1"/>
    </row>
    <row r="45" spans="1:9" x14ac:dyDescent="0.25">
      <c r="A45" s="1"/>
      <c r="B45" s="54"/>
      <c r="C45" s="55"/>
      <c r="D45" s="55"/>
      <c r="E45" s="55"/>
      <c r="F45" s="55"/>
      <c r="G45" s="55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1" t="s">
        <v>153</v>
      </c>
      <c r="C47" s="112"/>
      <c r="D47" s="112"/>
      <c r="E47" s="112"/>
      <c r="F47" s="112"/>
      <c r="G47" s="112"/>
      <c r="H47" s="113"/>
      <c r="I47" s="1"/>
    </row>
    <row r="48" spans="1:9" x14ac:dyDescent="0.25">
      <c r="A48" s="1"/>
      <c r="B48" s="114" t="s">
        <v>154</v>
      </c>
      <c r="C48" s="115"/>
      <c r="D48" s="115"/>
      <c r="E48" s="115"/>
      <c r="F48" s="116"/>
      <c r="G48" s="24">
        <f>(G42+G43-G44)*(1+'Fane 12. Nøgletal'!C14)</f>
        <v>9097081.5461777281</v>
      </c>
      <c r="H48" s="14" t="s">
        <v>3</v>
      </c>
      <c r="I48" s="1"/>
    </row>
    <row r="49" spans="1:9" x14ac:dyDescent="0.25">
      <c r="A49" s="1"/>
      <c r="B49" s="114" t="s">
        <v>155</v>
      </c>
      <c r="C49" s="115"/>
      <c r="D49" s="115"/>
      <c r="E49" s="115"/>
      <c r="F49" s="116"/>
      <c r="G49" s="24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4" t="s">
        <v>156</v>
      </c>
      <c r="C50" s="115"/>
      <c r="D50" s="115"/>
      <c r="E50" s="115"/>
      <c r="F50" s="116"/>
      <c r="G50" s="24">
        <f>(G48+G49)*'Fane 12. Nøgletal'!C24</f>
        <v>134636.80688343037</v>
      </c>
      <c r="H50" s="14" t="s">
        <v>3</v>
      </c>
      <c r="I50" s="1"/>
    </row>
    <row r="51" spans="1:9" x14ac:dyDescent="0.25">
      <c r="A51" s="1"/>
      <c r="B51" s="54"/>
      <c r="C51" s="55"/>
      <c r="D51" s="55"/>
      <c r="E51" s="55"/>
      <c r="F51" s="55"/>
      <c r="G51" s="55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1" t="s">
        <v>195</v>
      </c>
      <c r="C53" s="112"/>
      <c r="D53" s="112"/>
      <c r="E53" s="112"/>
      <c r="F53" s="112"/>
      <c r="G53" s="112"/>
      <c r="H53" s="113"/>
      <c r="I53" s="1"/>
    </row>
    <row r="54" spans="1:9" x14ac:dyDescent="0.25">
      <c r="A54" s="1"/>
      <c r="B54" s="114" t="s">
        <v>196</v>
      </c>
      <c r="C54" s="115"/>
      <c r="D54" s="115"/>
      <c r="E54" s="115"/>
      <c r="F54" s="116"/>
      <c r="G54" s="24">
        <f>(G48+G49-G50)*(1+'Fane 12. Nøgletal'!C14)</f>
        <v>8992020.8069339693</v>
      </c>
      <c r="H54" s="14" t="s">
        <v>3</v>
      </c>
      <c r="I54" s="1"/>
    </row>
    <row r="55" spans="1:9" x14ac:dyDescent="0.25">
      <c r="A55" s="1"/>
      <c r="B55" s="114" t="s">
        <v>197</v>
      </c>
      <c r="C55" s="115"/>
      <c r="D55" s="115"/>
      <c r="E55" s="115"/>
      <c r="F55" s="116"/>
      <c r="G55" s="24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4" t="s">
        <v>198</v>
      </c>
      <c r="C56" s="115"/>
      <c r="D56" s="115"/>
      <c r="E56" s="115"/>
      <c r="F56" s="116"/>
      <c r="G56" s="24">
        <f>(G54+G55)*'Fane 12. Nøgletal'!C24</f>
        <v>133081.90794262275</v>
      </c>
      <c r="H56" s="14" t="s">
        <v>3</v>
      </c>
      <c r="I56" s="1"/>
    </row>
    <row r="57" spans="1:9" x14ac:dyDescent="0.25">
      <c r="A57" s="1"/>
      <c r="B57" s="54"/>
      <c r="C57" s="55"/>
      <c r="D57" s="55"/>
      <c r="E57" s="55"/>
      <c r="F57" s="55"/>
      <c r="G57" s="55"/>
      <c r="H57" s="20"/>
      <c r="I57" s="1"/>
    </row>
  </sheetData>
  <sheetProtection algorithmName="SHA-512" hashValue="+Wi74dJOv6PmW4eVpGq+I7gfzI6zEQgpydBfs8w+DNbaZAWsTNIU33oIo1PnKzhosvLxH3gEO3REQyGXFC7hfw==" saltValue="zMHPbVVeZevrtdSWRJAbdA==" spinCount="100000" sheet="1" objects="1" scenarios="1"/>
  <mergeCells count="37">
    <mergeCell ref="B1:H3"/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91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1" t="s">
        <v>9</v>
      </c>
      <c r="C8" s="112"/>
      <c r="D8" s="112"/>
      <c r="E8" s="112"/>
      <c r="F8" s="112"/>
      <c r="G8" s="112"/>
      <c r="H8" s="113"/>
      <c r="I8" s="1"/>
    </row>
    <row r="9" spans="1:9" x14ac:dyDescent="0.25">
      <c r="A9" s="1"/>
      <c r="B9" s="114" t="s">
        <v>105</v>
      </c>
      <c r="C9" s="115"/>
      <c r="D9" s="115"/>
      <c r="E9" s="115"/>
      <c r="F9" s="116"/>
      <c r="G9" s="44">
        <v>0</v>
      </c>
      <c r="H9" s="14"/>
      <c r="I9" s="1"/>
    </row>
    <row r="10" spans="1:9" x14ac:dyDescent="0.25">
      <c r="A10" s="1"/>
      <c r="B10" s="114" t="s">
        <v>141</v>
      </c>
      <c r="C10" s="115"/>
      <c r="D10" s="115"/>
      <c r="E10" s="115"/>
      <c r="F10" s="116"/>
      <c r="G10" s="44">
        <v>0</v>
      </c>
      <c r="H10" s="14"/>
      <c r="I10" s="1"/>
    </row>
    <row r="11" spans="1:9" x14ac:dyDescent="0.25">
      <c r="A11" s="1"/>
      <c r="B11" s="54"/>
      <c r="C11" s="55"/>
      <c r="D11" s="55"/>
      <c r="E11" s="55"/>
      <c r="F11" s="55"/>
      <c r="G11" s="55"/>
      <c r="H11" s="20"/>
      <c r="I11" s="1"/>
    </row>
    <row r="12" spans="1:9" ht="14.25" customHeight="1" x14ac:dyDescent="0.25">
      <c r="A12" s="1"/>
      <c r="B12" s="123" t="s">
        <v>192</v>
      </c>
      <c r="C12" s="124"/>
      <c r="D12" s="124"/>
      <c r="E12" s="124"/>
      <c r="F12" s="124"/>
      <c r="G12" s="124"/>
      <c r="H12" s="125"/>
      <c r="I12" s="1"/>
    </row>
    <row r="13" spans="1:9" ht="12.75" customHeight="1" x14ac:dyDescent="0.25">
      <c r="A13" s="18"/>
      <c r="B13" s="126"/>
      <c r="C13" s="127"/>
      <c r="D13" s="127"/>
      <c r="E13" s="127"/>
      <c r="F13" s="127"/>
      <c r="G13" s="127"/>
      <c r="H13" s="128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bEA9Thw+u1b1rRaGp2Ks9dpZmrxS1IgIPnNxLlfYKNQeReAO7q+J9BQ22wWFPlbPPZBMVX82DpTFEPqwJD9BA==" saltValue="4/9qYmxHrRQ0IERZ8UoSuQ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Kjartan Emil Rasmussen</cp:lastModifiedBy>
  <cp:lastPrinted>2016-06-14T12:57:30Z</cp:lastPrinted>
  <dcterms:created xsi:type="dcterms:W3CDTF">2016-06-02T08:51:18Z</dcterms:created>
  <dcterms:modified xsi:type="dcterms:W3CDTF">2021-09-01T12:47:28Z</dcterms:modified>
</cp:coreProperties>
</file>