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up Vandværk (V02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0" i="3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8" i="3" l="1"/>
  <c r="E10" i="3" s="1"/>
  <c r="E11" i="3" s="1"/>
  <c r="E12" i="3" s="1"/>
  <c r="E21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<sst xmlns="http://schemas.openxmlformats.org/spreadsheetml/2006/main" count="403" uniqueCount="152">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</sst>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CQyHDJgt1V1/oGBXqJU83fa2ewbrFHwQzIb8d/oNi4yV9QgoRtwjswVbqCq4NmwbZZW36mIjgis4LJ8uWVMeg==" saltValue="QBWVo8HMuWrK5mg63S69P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DDTPs060TuSZJ2880JZ/bt1WLBeZwLViGeRQxCCGCoV1389Uz2RzLncD9y8NdoWBImYAb8iM9sNDaDOIpNuBSg==" saltValue="QIRvhs8I56EaY+kn6T4pn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VkeGRrUlRHUvfDYA5eo00QZkuD4kMQi16J73wZZPYkIkiaoPSB8twh3LGuX0G3IxMuGwsqvpyCN77aBY/bFJlw==" saltValue="Y5Gd5ZjBp+nCMYin6z2p9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FfGnduTqbtYz1fN4Ykib8fJXOJp+hTrEqze96Lq6V6N6ovSUAreRj2EO+JlvSBZ2bAXAan5DN9PvvgeXETSkIQ==" saltValue="rqZ/JwjY1Psm/ujY1vRG2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1bkzEM6AV023j1LP47wdlmzPV8+vtbO8MDvr7+KthoNbmgFtFclYrV8VaaZGfR6YpRj4ZzDjy2Ypy/QfRP8JDw==" saltValue="33/Jvx9abX5Bj5JlPb/mI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CuJr/bK3EVOi1QjQUTpnovmFhDxEzPQGsHSFfbJwaNBkHQPcv9mIPvMSB4ZY4BlXRcCv8vj76aoqCtF0/EwUGQ==" saltValue="gAzoLMQ67HNBER4vYs7V1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x14ac:dyDescent="0.45">
      <c r="A9" s="1"/>
      <c r="B9" s="44" t="s">
        <v>24</v>
      </c>
      <c r="C9" s="44"/>
      <c r="D9" s="44"/>
      <c r="E9" s="7">
        <f>'Fane 3. Omkostninger i ØR2021'!E16</f>
        <v>3647096.7049512942</v>
      </c>
      <c r="F9" s="44" t="s">
        <v>3</v>
      </c>
      <c r="G9" s="1"/>
    </row>
    <row r="10" spans="1:7" ht="17.100000000000001" customHeight="1" x14ac:dyDescent="0.45">
      <c r="A10" s="1"/>
      <c r="B10" s="33" t="s">
        <v>121</v>
      </c>
      <c r="C10" s="44"/>
      <c r="D10" s="44"/>
      <c r="E10" s="7">
        <f>'Fane 3. Omkostninger i ØR2021'!E13*(1-'Fane 10. Nøgletal'!C19)*(1+'Fane 10. Nøgletal'!C13)</f>
        <v>0</v>
      </c>
      <c r="F10" s="44" t="s">
        <v>3</v>
      </c>
      <c r="G10" s="1"/>
    </row>
    <row r="11" spans="1:7" ht="17.100000000000001" customHeight="1" x14ac:dyDescent="0.45">
      <c r="A11" s="1"/>
      <c r="B11" s="29" t="s">
        <v>60</v>
      </c>
      <c r="C11" s="44"/>
      <c r="D11" s="44"/>
      <c r="E11" s="7">
        <f>'Fane 7.1. Varige tillæg'!C12+'Fane 7.1. Varige tillæg'!E12</f>
        <v>0</v>
      </c>
      <c r="F11" s="44" t="s">
        <v>3</v>
      </c>
      <c r="G11" s="1"/>
    </row>
    <row r="12" spans="1:7" ht="17.100000000000001" customHeight="1" x14ac:dyDescent="0.45">
      <c r="A12" s="1"/>
      <c r="B12" s="29" t="s">
        <v>62</v>
      </c>
      <c r="C12" s="44"/>
      <c r="D12" s="44"/>
      <c r="E12" s="8">
        <f>-('Fane 9. Bortfald'!C12+'Fane 9. Bortfald'!E12)</f>
        <v>0</v>
      </c>
      <c r="F12" s="44" t="s">
        <v>3</v>
      </c>
      <c r="G12" s="1"/>
    </row>
    <row r="13" spans="1:7" ht="17.100000000000001" customHeight="1" x14ac:dyDescent="0.45">
      <c r="A13" s="1"/>
      <c r="B13" s="29" t="s">
        <v>65</v>
      </c>
      <c r="C13" s="44"/>
      <c r="D13" s="44"/>
      <c r="E13" s="8">
        <f>'Fane 8. Tilknyttet virksomhed'!C12+'Fane 8. Tilknyttet virksomhed'!E12</f>
        <v>0</v>
      </c>
      <c r="F13" s="44" t="s">
        <v>3</v>
      </c>
      <c r="G13" s="1"/>
    </row>
    <row r="14" spans="1:7" ht="17.100000000000001" customHeight="1" x14ac:dyDescent="0.45">
      <c r="A14" s="1"/>
      <c r="B14" s="29" t="s">
        <v>18</v>
      </c>
      <c r="C14" s="44"/>
      <c r="D14" s="44"/>
      <c r="E14" s="8">
        <f>E9*'Fane 10. Nøgletal'!C13+SUM(E11:E13)*'Fane 10. Nøgletal'!C14</f>
        <v>44494.579800405794</v>
      </c>
      <c r="F14" s="44" t="s">
        <v>3</v>
      </c>
      <c r="G14" s="1"/>
    </row>
    <row r="15" spans="1:7" ht="17.100000000000001" customHeight="1" x14ac:dyDescent="0.45">
      <c r="A15" s="1"/>
      <c r="B15" s="29" t="s">
        <v>54</v>
      </c>
      <c r="C15" s="44"/>
      <c r="D15" s="44"/>
      <c r="E15" s="8">
        <f>-SUM(E9,E11:E14)*'Fane 10. Nøgletal'!C19</f>
        <v>-62757.051840778906</v>
      </c>
      <c r="F15" s="44" t="s">
        <v>3</v>
      </c>
      <c r="G15" s="1"/>
    </row>
    <row r="16" spans="1:7" ht="15" customHeight="1" x14ac:dyDescent="0.45">
      <c r="A16" s="1"/>
      <c r="B16" s="48" t="s">
        <v>20</v>
      </c>
      <c r="C16" s="37"/>
      <c r="D16" s="37"/>
      <c r="E16" s="9">
        <f>SUM(E9,E11:E15)</f>
        <v>3628834.2329109213</v>
      </c>
      <c r="F16" s="39" t="s">
        <v>3</v>
      </c>
      <c r="G16" s="1"/>
    </row>
    <row r="17" spans="1:7" ht="15" customHeight="1" x14ac:dyDescent="0.4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45">
      <c r="A18" s="1"/>
      <c r="B18" s="39" t="s">
        <v>12</v>
      </c>
      <c r="C18" s="39"/>
      <c r="D18" s="39"/>
      <c r="E18" s="9">
        <f>'Fane 4. Ikke-påvirkelige omk.'!C14</f>
        <v>1849730.0524679802</v>
      </c>
      <c r="F18" s="39" t="s">
        <v>3</v>
      </c>
      <c r="G18" s="1"/>
    </row>
    <row r="19" spans="1:7" ht="15" customHeight="1" x14ac:dyDescent="0.45">
      <c r="A19" s="1"/>
      <c r="B19" s="38" t="s">
        <v>42</v>
      </c>
      <c r="C19" s="38"/>
      <c r="D19" s="38"/>
      <c r="E19" s="38"/>
      <c r="F19" s="38"/>
      <c r="G19" s="1"/>
    </row>
    <row r="20" spans="1:7" ht="15" customHeight="1" x14ac:dyDescent="0.45">
      <c r="A20" s="1"/>
      <c r="B20" s="29" t="s">
        <v>39</v>
      </c>
      <c r="C20" s="44"/>
      <c r="D20" s="44"/>
      <c r="E20" s="8">
        <f>'Fane 7.2. Engangstillæg'!C13</f>
        <v>0</v>
      </c>
      <c r="F20" s="44" t="s">
        <v>3</v>
      </c>
      <c r="G20" s="1"/>
    </row>
    <row r="21" spans="1:7" x14ac:dyDescent="0.45">
      <c r="A21" s="1"/>
      <c r="B21" s="29" t="s">
        <v>40</v>
      </c>
      <c r="C21" s="44"/>
      <c r="D21" s="44"/>
      <c r="E21" s="8">
        <f>'Fane 7.2. Engangstillæg'!E13</f>
        <v>0</v>
      </c>
      <c r="F21" s="44" t="s">
        <v>3</v>
      </c>
      <c r="G21" s="1"/>
    </row>
    <row r="22" spans="1:7" ht="15" customHeight="1" x14ac:dyDescent="0.45">
      <c r="A22" s="1"/>
      <c r="B22" s="48" t="s">
        <v>43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45">
      <c r="A23" s="1"/>
      <c r="B23" s="38" t="s">
        <v>85</v>
      </c>
      <c r="C23" s="38"/>
      <c r="D23" s="38"/>
      <c r="E23" s="38"/>
      <c r="F23" s="38"/>
      <c r="G23" s="1"/>
    </row>
    <row r="24" spans="1:7" x14ac:dyDescent="0.45">
      <c r="A24" s="1"/>
      <c r="B24" s="48" t="s">
        <v>31</v>
      </c>
      <c r="C24" s="37"/>
      <c r="D24" s="37"/>
      <c r="E24" s="9">
        <v>-391970.64455348719</v>
      </c>
      <c r="F24" s="39" t="s">
        <v>3</v>
      </c>
      <c r="G24" s="1"/>
    </row>
    <row r="25" spans="1:7" x14ac:dyDescent="0.45">
      <c r="A25" s="1"/>
      <c r="B25" s="48" t="s">
        <v>86</v>
      </c>
      <c r="C25" s="37"/>
      <c r="D25" s="37"/>
      <c r="E25" s="9">
        <f>'Fane 5. Kontrol af ØR2020'!E29</f>
        <v>0</v>
      </c>
      <c r="F25" s="39" t="s">
        <v>3</v>
      </c>
      <c r="G25" s="1"/>
    </row>
    <row r="26" spans="1:7" x14ac:dyDescent="0.45">
      <c r="A26" s="1"/>
      <c r="B26" s="38" t="s">
        <v>147</v>
      </c>
      <c r="C26" s="38"/>
      <c r="D26" s="38"/>
      <c r="E26" s="38"/>
      <c r="F26" s="38"/>
      <c r="G26" s="1"/>
    </row>
    <row r="27" spans="1:7" x14ac:dyDescent="0.45">
      <c r="A27" s="1"/>
      <c r="B27" s="39" t="s">
        <v>148</v>
      </c>
      <c r="C27" s="39"/>
      <c r="D27" s="39"/>
      <c r="E27" s="9">
        <v>0</v>
      </c>
      <c r="F27" s="39" t="s">
        <v>3</v>
      </c>
      <c r="G27" s="1"/>
    </row>
    <row r="28" spans="1:7" x14ac:dyDescent="0.45">
      <c r="A28" s="1"/>
      <c r="B28" s="38" t="s">
        <v>26</v>
      </c>
      <c r="C28" s="38"/>
      <c r="D28" s="38"/>
      <c r="E28" s="10">
        <f>SUM(E16,E18,E22,E24,E25,E27)</f>
        <v>5086593.6408254141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MzD/4IzWhTX5IUM3WXr25pF3hzBxfVQSiCR7hKwWmF2Z2bZ49J3yd+OYXkRgUDb6EsyYa7Qbj8yBLARAlTj/XA==" saltValue="D66nqPMBAo1Yzw6a8t+yU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44" t="s">
        <v>66</v>
      </c>
      <c r="C8" s="44"/>
      <c r="D8" s="44"/>
      <c r="E8" s="7">
        <f>'Fane 2.1. Økonomisk ramme 2022'!E16</f>
        <v>3628834.2329109213</v>
      </c>
      <c r="F8" s="44" t="s">
        <v>3</v>
      </c>
      <c r="G8" s="1"/>
    </row>
    <row r="9" spans="1:7" ht="15" customHeight="1" x14ac:dyDescent="0.45">
      <c r="A9" s="1"/>
      <c r="B9" s="29" t="s">
        <v>62</v>
      </c>
      <c r="C9" s="44"/>
      <c r="D9" s="44"/>
      <c r="E9" s="7">
        <f>-('Fane 9. Bortfald'!C18+'Fane 9. Bortfald'!E18)</f>
        <v>0</v>
      </c>
      <c r="F9" s="44" t="s">
        <v>3</v>
      </c>
      <c r="G9" s="1"/>
    </row>
    <row r="10" spans="1:7" ht="15" customHeight="1" x14ac:dyDescent="0.45">
      <c r="A10" s="1"/>
      <c r="B10" s="36" t="s">
        <v>18</v>
      </c>
      <c r="C10" s="44"/>
      <c r="D10" s="44"/>
      <c r="E10" s="8">
        <f>SUM(E8:E9)*'Fane 10. Nøgletal'!C14</f>
        <v>11975.15296860604</v>
      </c>
      <c r="F10" s="44" t="s">
        <v>3</v>
      </c>
      <c r="G10" s="1"/>
    </row>
    <row r="11" spans="1:7" ht="15" customHeight="1" x14ac:dyDescent="0.45">
      <c r="A11" s="1"/>
      <c r="B11" s="36" t="s">
        <v>54</v>
      </c>
      <c r="C11" s="44"/>
      <c r="D11" s="44"/>
      <c r="E11" s="8">
        <f>-SUM(E8:E10)*'Fane 10. Nøgletal'!C19</f>
        <v>-61893.75955995197</v>
      </c>
      <c r="F11" s="44" t="s">
        <v>3</v>
      </c>
      <c r="G11" s="1"/>
    </row>
    <row r="12" spans="1:7" ht="15" customHeight="1" x14ac:dyDescent="0.45">
      <c r="A12" s="1"/>
      <c r="B12" s="37" t="s">
        <v>20</v>
      </c>
      <c r="C12" s="37"/>
      <c r="D12" s="37"/>
      <c r="E12" s="9">
        <f>SUM(E8:E11)</f>
        <v>3578915.6263195751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omk.'!C14*(1+'Fane 10. Nøgletal'!C14)</f>
        <v>1855834.1616411246</v>
      </c>
      <c r="F14" s="39" t="s">
        <v>3</v>
      </c>
      <c r="G14" s="1"/>
    </row>
    <row r="15" spans="1:7" ht="15" customHeight="1" x14ac:dyDescent="0.4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9" t="s">
        <v>39</v>
      </c>
      <c r="C16" s="44"/>
      <c r="D16" s="44"/>
      <c r="E16" s="8">
        <f>'Fane 7.2. Engangstillæg'!C20</f>
        <v>0</v>
      </c>
      <c r="F16" s="44" t="s">
        <v>3</v>
      </c>
      <c r="G16" s="1"/>
    </row>
    <row r="17" spans="1:7" ht="15" customHeight="1" x14ac:dyDescent="0.45">
      <c r="A17" s="1"/>
      <c r="B17" s="29" t="s">
        <v>40</v>
      </c>
      <c r="C17" s="44"/>
      <c r="D17" s="44"/>
      <c r="E17" s="8">
        <f>'Fane 7.2. Engangstillæg'!E20</f>
        <v>0</v>
      </c>
      <c r="F17" s="44" t="s">
        <v>3</v>
      </c>
      <c r="G17" s="1"/>
    </row>
    <row r="18" spans="1:7" ht="15" customHeight="1" x14ac:dyDescent="0.4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x14ac:dyDescent="0.45">
      <c r="A19" s="1"/>
      <c r="B19" s="38" t="s">
        <v>85</v>
      </c>
      <c r="C19" s="38"/>
      <c r="D19" s="38"/>
      <c r="E19" s="38"/>
      <c r="F19" s="38"/>
      <c r="G19" s="1"/>
    </row>
    <row r="20" spans="1:7" x14ac:dyDescent="0.45">
      <c r="A20" s="1"/>
      <c r="B20" s="39" t="s">
        <v>86</v>
      </c>
      <c r="C20" s="39"/>
      <c r="D20" s="39"/>
      <c r="E20" s="9">
        <f>'Fane 5. Kontrol af ØR2020'!E35</f>
        <v>-66442.499633951578</v>
      </c>
      <c r="F20" s="39" t="s">
        <v>3</v>
      </c>
      <c r="G20" s="1"/>
    </row>
    <row r="21" spans="1:7" x14ac:dyDescent="0.45">
      <c r="A21" s="1"/>
      <c r="B21" s="38" t="s">
        <v>47</v>
      </c>
      <c r="C21" s="38"/>
      <c r="D21" s="38"/>
      <c r="E21" s="10">
        <f>SUM(E12,E14,E18,E20)</f>
        <v>5368307.2883267477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f8IUnUhDS/WnMYnX3ZvcJbrjRf/eSOQfltyh0NLsK75kGyCmYoi4ijZXKZ0jUTj/eIKzyN4RHGwcXn3Z0XVxIg==" saltValue="mE0ysJNMtXFuEssS4NcFA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44" t="s">
        <v>67</v>
      </c>
      <c r="C8" s="44"/>
      <c r="D8" s="44"/>
      <c r="E8" s="7">
        <f>'Fane 2.2. Økonomisk ramme 2023'!E12</f>
        <v>3578915.6263195751</v>
      </c>
      <c r="F8" s="44" t="s">
        <v>3</v>
      </c>
      <c r="G8" s="1"/>
    </row>
    <row r="9" spans="1:7" ht="15" customHeight="1" x14ac:dyDescent="0.45">
      <c r="A9" s="1"/>
      <c r="B9" s="44" t="s">
        <v>62</v>
      </c>
      <c r="C9" s="44"/>
      <c r="D9" s="44"/>
      <c r="E9" s="7">
        <f>-('Fane 9. Bortfald'!C24+'Fane 9. Bortfald'!E24)</f>
        <v>0</v>
      </c>
      <c r="F9" s="44" t="s">
        <v>3</v>
      </c>
      <c r="G9" s="1"/>
    </row>
    <row r="10" spans="1:7" ht="15" customHeight="1" x14ac:dyDescent="0.45">
      <c r="A10" s="1"/>
      <c r="B10" s="36" t="s">
        <v>18</v>
      </c>
      <c r="C10" s="44"/>
      <c r="D10" s="44"/>
      <c r="E10" s="8">
        <f>SUM(E8:E9)*'Fane 10. Nøgletal'!C14</f>
        <v>11810.421566854598</v>
      </c>
      <c r="F10" s="44" t="s">
        <v>3</v>
      </c>
      <c r="G10" s="1"/>
    </row>
    <row r="11" spans="1:7" ht="15" customHeight="1" x14ac:dyDescent="0.45">
      <c r="A11" s="1"/>
      <c r="B11" s="36" t="s">
        <v>54</v>
      </c>
      <c r="C11" s="44"/>
      <c r="D11" s="44"/>
      <c r="E11" s="8">
        <f>-SUM(E8:E10)*'Fane 10. Nøgletal'!C19</f>
        <v>-61042.342814069314</v>
      </c>
      <c r="F11" s="44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3529683.7050723606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omk.'!C14*(1+'Fane 10. Nøgletal'!C14)^2</f>
        <v>1861958.4143745406</v>
      </c>
      <c r="F14" s="39" t="s">
        <v>3</v>
      </c>
      <c r="G14" s="1"/>
    </row>
    <row r="15" spans="1:7" ht="15" customHeight="1" x14ac:dyDescent="0.4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9" t="s">
        <v>39</v>
      </c>
      <c r="C16" s="44"/>
      <c r="D16" s="44"/>
      <c r="E16" s="8">
        <f>'Fane 7.2. Engangstillæg'!C27</f>
        <v>0</v>
      </c>
      <c r="F16" s="44" t="s">
        <v>3</v>
      </c>
      <c r="G16" s="1"/>
    </row>
    <row r="17" spans="1:7" ht="15" customHeight="1" x14ac:dyDescent="0.45">
      <c r="A17" s="1"/>
      <c r="B17" s="29" t="s">
        <v>40</v>
      </c>
      <c r="C17" s="44"/>
      <c r="D17" s="44"/>
      <c r="E17" s="8">
        <f>'Fane 7.2. Engangstillæg'!E27</f>
        <v>0</v>
      </c>
      <c r="F17" s="44" t="s">
        <v>3</v>
      </c>
      <c r="G17" s="1"/>
    </row>
    <row r="18" spans="1:7" ht="15" customHeight="1" x14ac:dyDescent="0.4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45">
      <c r="A20" s="1"/>
      <c r="B20" s="39" t="s">
        <v>86</v>
      </c>
      <c r="C20" s="39"/>
      <c r="D20" s="39"/>
      <c r="E20" s="9">
        <f>'Fane 5. Kontrol af ØR2020'!E35</f>
        <v>-66442.499633951578</v>
      </c>
      <c r="F20" s="39" t="s">
        <v>3</v>
      </c>
      <c r="G20" s="1"/>
    </row>
    <row r="21" spans="1:7" x14ac:dyDescent="0.45">
      <c r="A21" s="1"/>
      <c r="B21" s="38" t="s">
        <v>68</v>
      </c>
      <c r="C21" s="38"/>
      <c r="D21" s="38"/>
      <c r="E21" s="10">
        <f>SUM(E12,E14,E18,E20)</f>
        <v>5325199.6198129505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xFlF3cEbDNd4XeX/RUsTnzrIcx5DbZOghDMa/yjDbCkmRqgeowCbgqxqF78llZXPGWr44xEklib89jJjXAsHaQ==" saltValue="9/GfsLMErtUZ8z1rwcEZc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44" t="s">
        <v>103</v>
      </c>
      <c r="C8" s="44"/>
      <c r="D8" s="44"/>
      <c r="E8" s="7">
        <f>'Fane 2.3. Økonomisk ramme 2024'!E12</f>
        <v>3529683.7050723606</v>
      </c>
      <c r="F8" s="44" t="s">
        <v>3</v>
      </c>
      <c r="G8" s="1"/>
    </row>
    <row r="9" spans="1:7" ht="15" customHeight="1" x14ac:dyDescent="0.45">
      <c r="A9" s="1"/>
      <c r="B9" s="44" t="s">
        <v>62</v>
      </c>
      <c r="C9" s="44"/>
      <c r="D9" s="44"/>
      <c r="E9" s="7">
        <f>-('Fane 9. Bortfald'!C30+'Fane 9. Bortfald'!E30)</f>
        <v>0</v>
      </c>
      <c r="F9" s="44" t="s">
        <v>3</v>
      </c>
      <c r="G9" s="1"/>
    </row>
    <row r="10" spans="1:7" ht="15" customHeight="1" x14ac:dyDescent="0.45">
      <c r="A10" s="1"/>
      <c r="B10" s="36" t="s">
        <v>18</v>
      </c>
      <c r="C10" s="44"/>
      <c r="D10" s="44"/>
      <c r="E10" s="8">
        <f>SUM(E8:E9)*'Fane 10. Nøgletal'!C14</f>
        <v>11647.95622673879</v>
      </c>
      <c r="F10" s="44" t="s">
        <v>3</v>
      </c>
      <c r="G10" s="1"/>
    </row>
    <row r="11" spans="1:7" ht="15" customHeight="1" x14ac:dyDescent="0.45">
      <c r="A11" s="1"/>
      <c r="B11" s="36" t="s">
        <v>54</v>
      </c>
      <c r="C11" s="44"/>
      <c r="D11" s="44"/>
      <c r="E11" s="8">
        <f>-SUM(E8:E10)*'Fane 10. Nøgletal'!C19</f>
        <v>-60202.638242084693</v>
      </c>
      <c r="F11" s="44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3481129.0230570147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omk.'!C14*(1+'Fane 10. Nøgletal'!C14)^3</f>
        <v>1868102.8771419767</v>
      </c>
      <c r="F14" s="39" t="s">
        <v>3</v>
      </c>
      <c r="G14" s="1"/>
    </row>
    <row r="15" spans="1:7" ht="15" customHeight="1" x14ac:dyDescent="0.4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9" t="s">
        <v>39</v>
      </c>
      <c r="C16" s="44"/>
      <c r="D16" s="44"/>
      <c r="E16" s="8">
        <f>'Fane 7.2. Engangstillæg'!C34</f>
        <v>0</v>
      </c>
      <c r="F16" s="44" t="s">
        <v>3</v>
      </c>
      <c r="G16" s="1"/>
    </row>
    <row r="17" spans="1:7" ht="15" customHeight="1" x14ac:dyDescent="0.45">
      <c r="A17" s="1"/>
      <c r="B17" s="29" t="s">
        <v>40</v>
      </c>
      <c r="C17" s="44"/>
      <c r="D17" s="44"/>
      <c r="E17" s="8">
        <f>'Fane 7.2. Engangstillæg'!E34</f>
        <v>0</v>
      </c>
      <c r="F17" s="44" t="s">
        <v>3</v>
      </c>
      <c r="G17" s="1"/>
    </row>
    <row r="18" spans="1:7" ht="15" customHeight="1" x14ac:dyDescent="0.4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45">
      <c r="A20" s="1"/>
      <c r="B20" s="39" t="s">
        <v>86</v>
      </c>
      <c r="C20" s="39"/>
      <c r="D20" s="39"/>
      <c r="E20" s="9">
        <f>'Fane 5. Kontrol af ØR2020'!E35</f>
        <v>-66442.499633951578</v>
      </c>
      <c r="F20" s="39" t="s">
        <v>3</v>
      </c>
      <c r="G20" s="1"/>
    </row>
    <row r="21" spans="1:7" x14ac:dyDescent="0.45">
      <c r="A21" s="1"/>
      <c r="B21" s="38" t="s">
        <v>104</v>
      </c>
      <c r="C21" s="38"/>
      <c r="D21" s="38"/>
      <c r="E21" s="10">
        <f>SUM(E12,E14,E18,E20)</f>
        <v>5282789.4005650394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0wbm5r8XgH54Ao58uQ8hrB0bdS47DdrMY63sAyEg7pjhurhb8es/lDLHQOfCAG+CK8WYq5WpfksFNUvxr7DXgg==" saltValue="ElhlBWvBSlMqsv6W3MEcs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126</v>
      </c>
      <c r="C8" s="38"/>
      <c r="D8" s="38"/>
      <c r="E8" s="38"/>
      <c r="F8" s="38"/>
      <c r="G8" s="1"/>
    </row>
    <row r="9" spans="1:7" x14ac:dyDescent="0.45">
      <c r="A9" s="1"/>
      <c r="B9" s="87" t="s">
        <v>23</v>
      </c>
      <c r="C9" s="87"/>
      <c r="D9" s="87"/>
      <c r="E9" s="7">
        <v>3654561.270514973</v>
      </c>
      <c r="F9" s="44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10889.814197912629</v>
      </c>
      <c r="F10" s="44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44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4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4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44718.503233497213</v>
      </c>
      <c r="F14" s="44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-63072.882995088512</v>
      </c>
      <c r="F15" s="44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3647096.7049512942</v>
      </c>
      <c r="F16" s="39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38"/>
      <c r="F17" s="38"/>
      <c r="G17" s="1"/>
    </row>
    <row r="18" spans="1:7" x14ac:dyDescent="0.45">
      <c r="A18" s="1"/>
      <c r="B18" s="79" t="s">
        <v>12</v>
      </c>
      <c r="C18" s="79"/>
      <c r="D18" s="79"/>
      <c r="E18" s="9">
        <v>1679594.3597814252</v>
      </c>
      <c r="F18" s="39" t="s">
        <v>3</v>
      </c>
      <c r="G18" s="1"/>
    </row>
    <row r="19" spans="1:7" ht="15.4" customHeight="1" x14ac:dyDescent="0.45">
      <c r="A19" s="1"/>
      <c r="B19" s="38" t="s">
        <v>42</v>
      </c>
      <c r="C19" s="38"/>
      <c r="D19" s="38"/>
      <c r="E19" s="38"/>
      <c r="F19" s="38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38" t="s">
        <v>85</v>
      </c>
      <c r="C23" s="38"/>
      <c r="D23" s="38"/>
      <c r="E23" s="38"/>
      <c r="F23" s="38"/>
      <c r="G23" s="1"/>
    </row>
    <row r="24" spans="1:7" x14ac:dyDescent="0.45">
      <c r="A24" s="1"/>
      <c r="B24" s="48" t="s">
        <v>31</v>
      </c>
      <c r="C24" s="37"/>
      <c r="D24" s="37"/>
      <c r="E24" s="9">
        <v>-391970.64455348719</v>
      </c>
      <c r="F24" s="39" t="s">
        <v>3</v>
      </c>
      <c r="G24" s="1"/>
    </row>
    <row r="25" spans="1:7" x14ac:dyDescent="0.45">
      <c r="A25" s="1"/>
      <c r="B25" s="48" t="s">
        <v>86</v>
      </c>
      <c r="C25" s="37"/>
      <c r="D25" s="37"/>
      <c r="E25" s="9">
        <v>-206090.81666057883</v>
      </c>
      <c r="F25" s="39" t="s">
        <v>3</v>
      </c>
      <c r="G25" s="1"/>
    </row>
    <row r="26" spans="1:7" ht="15" customHeight="1" x14ac:dyDescent="0.45">
      <c r="A26" s="1"/>
      <c r="B26" s="38" t="s">
        <v>25</v>
      </c>
      <c r="C26" s="38"/>
      <c r="D26" s="38"/>
      <c r="E26" s="10">
        <f>E16+E18+E22+E24+E25</f>
        <v>4728629.6035186537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pwTdveOUDnr6cMIVYLaiUkT/GyzIM7PAaIaU00MdFCkjhRi/O8X2+MxkgLf/D78UHmAKDnkgtJRGcw2deCdhVQ==" saltValue="y77H3z7UyKdQaoNwdKHz+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39" t="s">
        <v>106</v>
      </c>
      <c r="D9" s="39"/>
      <c r="E9" s="1"/>
      <c r="F9" s="1"/>
    </row>
    <row r="10" spans="1:6" x14ac:dyDescent="0.45">
      <c r="A10" s="1"/>
      <c r="B10" s="28" t="s">
        <v>130</v>
      </c>
      <c r="C10" s="8">
        <v>1832101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5358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123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1837582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1849730.0524679802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KXoZU9O01tBTMUcbzywC+jz3SvoReaNJ2jTWp0bsTbqvacY2J1TEFP+I1JjRAXKGbRrUlSWVOocuJIQC2Cg9fQ==" saltValue="swq9RtEuCaN19XqL1gXlg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43"/>
      <c r="C6" s="43"/>
      <c r="D6" s="43"/>
      <c r="E6" s="43"/>
      <c r="F6" s="43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-1777093.8550000004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1062250.2216788428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302662.19884092361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-206090.81666057883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-206090.81666057883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9" t="s">
        <v>123</v>
      </c>
      <c r="C22" s="50"/>
      <c r="D22" s="51"/>
      <c r="E22" s="8">
        <v>5034757.0014641937</v>
      </c>
      <c r="F22" s="12" t="s">
        <v>3</v>
      </c>
      <c r="G22" s="1"/>
    </row>
    <row r="23" spans="1:7" x14ac:dyDescent="0.45">
      <c r="A23" s="1"/>
      <c r="B23" s="49" t="s">
        <v>124</v>
      </c>
      <c r="C23" s="50"/>
      <c r="D23" s="51"/>
      <c r="E23" s="8">
        <v>5300527</v>
      </c>
      <c r="F23" s="12" t="s">
        <v>3</v>
      </c>
      <c r="G23" s="1"/>
    </row>
    <row r="24" spans="1:7" x14ac:dyDescent="0.4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45">
      <c r="A25" s="1"/>
      <c r="B25" s="40" t="s">
        <v>125</v>
      </c>
      <c r="C25" s="41"/>
      <c r="D25" s="42"/>
      <c r="E25" s="34">
        <f>E22-(E23-E24)</f>
        <v>-265769.99853580631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-265769.99853580631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-66442.499633951578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7DhPDk+V22YgLvR2sM2toBTreXInLbFVWn3LpCz2TTc1lg72fgw6LtesZ+hOYukxhBrUP9AKda5jbtieMVmqw==" saltValue="l6fBE0+MYvp0QYI2CtHJI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27</v>
      </c>
      <c r="H9" s="53"/>
      <c r="I9" s="1"/>
    </row>
    <row r="10" spans="1:9" x14ac:dyDescent="0.45">
      <c r="A10" s="1"/>
      <c r="B10" s="56" t="s">
        <v>149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m412v2sGEjOJ47sd66MolkX1zEU7mfE6mW5s9Zg+YZRcjMxTkpg82Xk4HiuRieUM4GH+kW5m94Lz5oSBfOS8Q==" saltValue="8tv1ieEZGOriXCbAEVzQQ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2021-09-09T22:32:00Z</dcterms:modified>
</cp:coreProperties>
</file>