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TREFOR Vand AS (V188)\ØR2024\"/>
    </mc:Choice>
  </mc:AlternateContent>
  <xr:revisionPtr revIDLastSave="0" documentId="13_ncr:1_{128FC236-0090-43C6-9202-DBA53BA29079}"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E23" i="42" l="1"/>
  <c r="E31" i="42" s="1"/>
  <c r="E33" i="42" s="1"/>
  <c r="C8" i="2"/>
  <c r="C17" i="15" l="1"/>
  <c r="C17" i="22"/>
  <c r="E27" i="42"/>
  <c r="C29" i="2" s="1"/>
  <c r="C13" i="29"/>
  <c r="C14" i="29" s="1"/>
  <c r="E13" i="39" l="1"/>
  <c r="C13" i="39"/>
  <c r="C31" i="2" l="1"/>
  <c r="E14" i="39" l="1"/>
  <c r="C14"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7" i="36"/>
  <c r="G58" i="30" l="1"/>
  <c r="G59" i="30" s="1"/>
  <c r="C11" i="15"/>
  <c r="C18" i="2"/>
  <c r="C15" i="2"/>
  <c r="G53" i="36" l="1"/>
  <c r="G63" i="30"/>
  <c r="G64" i="30" s="1"/>
  <c r="C11" i="23" s="1"/>
  <c r="C11" i="22"/>
  <c r="C16" i="2"/>
  <c r="C19" i="2" s="1"/>
  <c r="C34" i="2" s="1"/>
  <c r="G58" i="36" l="1"/>
  <c r="C12" i="22" s="1"/>
  <c r="C12" i="15"/>
  <c r="C8" i="15" l="1"/>
  <c r="C9" i="15" s="1"/>
  <c r="C10" i="15" s="1"/>
  <c r="G63" i="36"/>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<sst xmlns="http://schemas.openxmlformats.org/spreadsheetml/2006/main" count="555" uniqueCount="268">
  <si>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</si>
  <si>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</si>
  <si>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</si>
  <si>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</si>
  <si>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</si>
  <si>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</si>
  <si>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</si>
  <si>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</si>
  <si>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</si>
  <si>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</si>
  <si>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</si>
  <si>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</si>
  <si>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</si>
  <si>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</si>
  <si>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</si>
  <si>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</si>
  <si>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</si>
  <si>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</si>
  <si>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</si>
  <si>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</si>
  <si>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</si>
  <si>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</si>
  <si>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</si>
  <si>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</si>
  <si>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</si>
  <si>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</si>
  <si>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</si>
  <si>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</si>
  <si>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</si>
  <si>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</si>
  <si>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</si>
  <si>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</si>
  <si>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</si>
  <si>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</si>
  <si>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</si>
  <si>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</si>
  <si>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</si>
  <si>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</si>
  <si>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</si>
  <si>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</si>
  <si>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</si>
  <si>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</si>
  <si>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</si>
  <si>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</si>
  <si>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</si>
  <si>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</si>
  <si>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</si>
  <si>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</si>
  <si>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</si>
  <si>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</si>
  <si>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</si>
  <si>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</si>
  <si>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</si>
  <si>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</si>
  <si>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</si>
  <si>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</si>
  <si>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</si>
  <si>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</si>
  <si>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</si>
  <si>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</si>
  <si>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</si>
  <si>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</si>
  <si>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</si>
  <si>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</si>
  <si>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</si>
  <si>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</si>
  <si>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</si>
  <si>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</si>
  <si>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</si>
  <si>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</si>
  <si>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</si>
  <si>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</si>
  <si>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</si>
  <si>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</si>
  <si>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</si>
  <si>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</si>
  <si>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</si>
  <si>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</si>
  <si>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</si>
  <si>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</si>
  <si>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</si>
  <si>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</si>
  <si>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</si>
  <si>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</si>
  <si>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</si>
  <si>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</si>
  <si>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</si>
  <si>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</si>
  <si>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</si>
  <si>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</si>
  <si>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</si>
  <si>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</si>
  <si>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</si>
  <si>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</si>
  <si>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</si>
  <si>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</si>
  <si>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</si>
  <si>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</si>
  <si>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</si>
  <si>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</si>
  <si>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</si>
  <si>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</si>
  <si>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</si>
  <si>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</si>
  <si>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</si>
  <si>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</si>
  <si>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</si>
  <si>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</si>
  <si>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</si>
  <si>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</si>
  <si>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</si>
  <si>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</si>
  <si>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</si>
  <si>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</si>
  <si>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</si>
  <si>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</si>
  <si>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</si>
  <si>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</si>
  <si>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</si>
  <si>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</si>
  <si>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</si>
  <si>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</si>
  <si>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</si>
  <si>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</si>
  <si>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</si>
  <si>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</si>
  <si>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</si>
  <si>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</si>
  <si>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</si>
  <si>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</si>
  <si>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</si>
  <si>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</si>
  <si>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</si>
  <si>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</si>
  <si>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</si>
  <si>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</si>
  <si>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</si>
  <si>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</si>
  <si>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</si>
  <si>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</si>
  <si>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</si>
  <si>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</si>
  <si>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</si>
  <si>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</si>
  <si>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</si>
  <si>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</si>
  <si>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</si>
  <si>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</si>
  <si>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</si>
  <si>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</si>
  <si>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</si>
  <si>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</si>
  <si>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</si>
  <si>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</si>
  <si>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</si>
  <si>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</si>
  <si>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</si>
  <si>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</si>
  <si>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</si>
  <si>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</si>
  <si>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</si>
  <si>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</si>
  <si>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</si>
  <si>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</si>
  <si>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</si>
  <si>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</si>
  <si>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</si>
  <si>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</si>
  <si>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</si>
  <si>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</si>
  <si>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</si>
  <si>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</si>
  <si>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</si>
  <si>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</si>
  <si>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</si>
  <si>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</si>
  <si>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</si>
  <si>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</si>
  <si>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</si>
  <si>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</si>
  <si>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</si>
  <si>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</si>
  <si>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</si>
  <si>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</si>
  <si>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</si>
  <si>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</si>
  <si>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</si>
  <si>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</si>
  <si>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</si>
  <si>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</si>
  <si>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</si>
  <si>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</si>
  <si>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</si>
  <si>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</si>
  <si>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</si>
  <si>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</si>
  <si>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</si>
  <si>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</si>
  <si>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</si>
  <si>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</si>
  <si>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</si>
  <si>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</si>
  <si>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</si>
  <si>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</si>
  <si>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</si>
  <si>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</si>
  <si>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</si>
  <si>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</si>
  <si>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</si>
  <si>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</si>
  <si>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</si>
  <si>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</si>
  <si>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</si>
  <si>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</si>
  <si>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</si>
  <si>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</si>
  <si>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</si>
  <si>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</si>
  <si>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</si>
  <si>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</si>
  <si>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</si>
  <si>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</si>
  <si>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</si>
  <si>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</si>
  <si>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</si>
  <si>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</si>
  <si>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</si>
  <si>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</si>
  <si>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</si>
  <si>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</si>
  <si>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</si>
  <si>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</si>
  <si>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</si>
  <si>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</si>
  <si>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</si>
  <si>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</si>
  <si>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</si>
  <si>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</si>
  <si>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</si>
  <si>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</si>
  <si>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</si>
  <si>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</si>
  <si>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</si>
  <si>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</si>
  <si>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</si>
  <si>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Ejendomsskat</t>
  </si>
  <si>
    <t>Tjenestemandspensioner</t>
  </si>
  <si>
    <t>Frivillige aftaler om dyrkningspraksis eller andre restriktioner i arealanvendelse</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</si>
  <si>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</si>
  <si>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</si>
  <si>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</si>
  <si>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</si>
  <si>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</si>
  <si>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</si>
  <si>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</si>
  <si>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</si>
  <si>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</si>
  <si>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</si>
  <si>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</si>
  <si>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</si>
  <si>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</si>
  <si>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Nyanlæg større ledninger</t>
  </si>
  <si>
    <t>Nye målere</t>
  </si>
  <si>
    <t>Nyudstykninger</t>
  </si>
  <si>
    <t>Omkostninger til BNBO</t>
  </si>
  <si>
    <t>Meromkostninger ved nye parametre (PFAS)</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</si>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</sst>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 val="Ark3"/>
    </sheetNames>
    <sheetDataSet>
      <sheetData sheetId="0"/>
      <sheetData sheetId="1">
        <row r="1">
          <cell r="A1" t="str">
            <v>ØR 2024-2027 samt statusmeddelelser</v>
          </cell>
        </row>
      </sheetData>
      <sheetData sheetId="2">
        <row r="1">
          <cell r="A1" t="str">
            <v>ØR 2023-2026 samt statusmeddelelser</v>
          </cell>
        </row>
      </sheetData>
      <sheetData sheetId="3">
        <row r="1">
          <cell r="A1" t="str">
            <v>ØR 2022-2025 samt statusmeddelelser</v>
          </cell>
        </row>
      </sheetData>
      <sheetData sheetId="4">
        <row r="3">
          <cell r="A3" t="str">
            <v>S016</v>
          </cell>
        </row>
      </sheetData>
      <sheetData sheetId="5">
        <row r="3">
          <cell r="A3" t="str">
            <v>S016</v>
          </cell>
        </row>
      </sheetData>
      <sheetData sheetId="6"/>
      <sheetData sheetId="7"/>
      <sheetData sheetId="8"/>
      <sheetData sheetId="9">
        <row r="5">
          <cell r="C5">
            <v>1.0168999999999999</v>
          </cell>
        </row>
      </sheetData>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2" t="s">
        <v>4</v>
      </c>
      <c r="E6" s="82"/>
      <c r="F6" s="82"/>
      <c r="G6" s="82"/>
      <c r="H6" s="3"/>
      <c r="I6" s="1"/>
    </row>
    <row r="7" spans="1:9" ht="15" customHeight="1" x14ac:dyDescent="0.25">
      <c r="A7" s="1"/>
      <c r="B7" s="1"/>
      <c r="C7" s="3"/>
      <c r="D7" s="82"/>
      <c r="E7" s="82"/>
      <c r="F7" s="82"/>
      <c r="G7" s="82"/>
      <c r="H7" s="3"/>
      <c r="I7" s="1"/>
    </row>
    <row r="8" spans="1:9" ht="15.75" x14ac:dyDescent="0.25">
      <c r="A8" s="1"/>
      <c r="B8" s="1"/>
      <c r="C8" s="4"/>
      <c r="D8" s="87" t="s">
        <v>235</v>
      </c>
      <c r="E8" s="87"/>
      <c r="F8" s="87"/>
      <c r="G8" s="87"/>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6" t="s">
        <v>5</v>
      </c>
      <c r="E11" s="86"/>
      <c r="F11" s="86"/>
      <c r="G11" s="86"/>
      <c r="H11" s="5"/>
      <c r="I11" s="1"/>
    </row>
    <row r="12" spans="1:9" x14ac:dyDescent="0.25">
      <c r="A12" s="1"/>
      <c r="B12" s="1"/>
      <c r="C12" s="1"/>
      <c r="D12" s="1"/>
      <c r="E12" s="1"/>
      <c r="F12" s="1"/>
      <c r="G12" s="1"/>
      <c r="H12" s="1"/>
      <c r="I12" s="1"/>
    </row>
    <row r="13" spans="1:9" x14ac:dyDescent="0.25">
      <c r="A13" s="1"/>
      <c r="B13" s="1"/>
      <c r="C13" s="6" t="s">
        <v>6</v>
      </c>
      <c r="D13" s="79" t="s">
        <v>162</v>
      </c>
      <c r="E13" s="80"/>
      <c r="F13" s="80"/>
      <c r="G13" s="81"/>
      <c r="H13" s="1"/>
      <c r="I13" s="1"/>
    </row>
    <row r="14" spans="1:9" x14ac:dyDescent="0.25">
      <c r="A14" s="1"/>
      <c r="B14" s="1"/>
      <c r="C14" s="6" t="s">
        <v>14</v>
      </c>
      <c r="D14" s="79" t="s">
        <v>197</v>
      </c>
      <c r="E14" s="80"/>
      <c r="F14" s="80"/>
      <c r="G14" s="81"/>
      <c r="H14" s="1"/>
      <c r="I14" s="1"/>
    </row>
    <row r="15" spans="1:9" x14ac:dyDescent="0.25">
      <c r="A15" s="1"/>
      <c r="B15" s="1"/>
      <c r="C15" s="6" t="s">
        <v>30</v>
      </c>
      <c r="D15" s="79" t="s">
        <v>141</v>
      </c>
      <c r="E15" s="80"/>
      <c r="F15" s="80"/>
      <c r="G15" s="81"/>
      <c r="H15" s="1"/>
      <c r="I15" s="1"/>
    </row>
    <row r="16" spans="1:9" x14ac:dyDescent="0.25">
      <c r="A16" s="1"/>
      <c r="B16" s="1"/>
      <c r="C16" s="6" t="s">
        <v>31</v>
      </c>
      <c r="D16" s="79" t="s">
        <v>194</v>
      </c>
      <c r="E16" s="80"/>
      <c r="F16" s="80"/>
      <c r="G16" s="81"/>
      <c r="H16" s="1"/>
      <c r="I16" s="1"/>
    </row>
    <row r="17" spans="1:9" x14ac:dyDescent="0.25">
      <c r="A17" s="1"/>
      <c r="B17" s="1"/>
      <c r="C17" s="6" t="s">
        <v>102</v>
      </c>
      <c r="D17" s="79" t="s">
        <v>195</v>
      </c>
      <c r="E17" s="80"/>
      <c r="F17" s="80"/>
      <c r="G17" s="81"/>
      <c r="H17" s="1"/>
      <c r="I17" s="1"/>
    </row>
    <row r="18" spans="1:9" x14ac:dyDescent="0.25">
      <c r="A18" s="1"/>
      <c r="B18" s="1"/>
      <c r="C18" s="6" t="s">
        <v>86</v>
      </c>
      <c r="D18" s="88" t="s">
        <v>79</v>
      </c>
      <c r="E18" s="89"/>
      <c r="F18" s="89"/>
      <c r="G18" s="90"/>
      <c r="H18" s="1"/>
      <c r="I18" s="1"/>
    </row>
    <row r="19" spans="1:9" x14ac:dyDescent="0.25">
      <c r="A19" s="1"/>
      <c r="B19" s="1"/>
      <c r="C19" s="6" t="s">
        <v>87</v>
      </c>
      <c r="D19" s="88" t="s">
        <v>80</v>
      </c>
      <c r="E19" s="89"/>
      <c r="F19" s="89"/>
      <c r="G19" s="90"/>
      <c r="H19" s="1"/>
      <c r="I19" s="1"/>
    </row>
    <row r="20" spans="1:9" x14ac:dyDescent="0.25">
      <c r="A20" s="1"/>
      <c r="B20" s="1"/>
      <c r="C20" s="6" t="s">
        <v>7</v>
      </c>
      <c r="D20" s="88" t="s">
        <v>9</v>
      </c>
      <c r="E20" s="89"/>
      <c r="F20" s="89"/>
      <c r="G20" s="90"/>
      <c r="H20" s="1"/>
      <c r="I20" s="1"/>
    </row>
    <row r="21" spans="1:9" x14ac:dyDescent="0.25">
      <c r="A21" s="1"/>
      <c r="B21" s="1"/>
      <c r="C21" s="6" t="s">
        <v>88</v>
      </c>
      <c r="D21" s="94" t="s">
        <v>11</v>
      </c>
      <c r="E21" s="95"/>
      <c r="F21" s="95"/>
      <c r="G21" s="96"/>
      <c r="H21" s="1"/>
      <c r="I21" s="1"/>
    </row>
    <row r="22" spans="1:9" x14ac:dyDescent="0.25">
      <c r="A22" s="1"/>
      <c r="B22" s="1"/>
      <c r="C22" s="6" t="s">
        <v>73</v>
      </c>
      <c r="D22" s="83" t="s">
        <v>196</v>
      </c>
      <c r="E22" s="84"/>
      <c r="F22" s="84"/>
      <c r="G22" s="85"/>
      <c r="H22" s="1"/>
      <c r="I22" s="1"/>
    </row>
    <row r="23" spans="1:9" x14ac:dyDescent="0.25">
      <c r="A23" s="1"/>
      <c r="B23" s="1"/>
      <c r="C23" s="6" t="s">
        <v>8</v>
      </c>
      <c r="D23" s="83" t="s">
        <v>176</v>
      </c>
      <c r="E23" s="84"/>
      <c r="F23" s="84"/>
      <c r="G23" s="85"/>
      <c r="H23" s="1"/>
      <c r="I23" s="1"/>
    </row>
    <row r="24" spans="1:9" x14ac:dyDescent="0.25">
      <c r="A24" s="1"/>
      <c r="B24" s="1"/>
      <c r="C24" s="6" t="s">
        <v>172</v>
      </c>
      <c r="D24" s="83" t="s">
        <v>163</v>
      </c>
      <c r="E24" s="84"/>
      <c r="F24" s="84"/>
      <c r="G24" s="85"/>
      <c r="H24" s="1"/>
      <c r="I24" s="1"/>
    </row>
    <row r="25" spans="1:9" x14ac:dyDescent="0.25">
      <c r="A25" s="1"/>
      <c r="B25" s="1"/>
      <c r="C25" s="6" t="s">
        <v>173</v>
      </c>
      <c r="D25" s="83" t="s">
        <v>74</v>
      </c>
      <c r="E25" s="84"/>
      <c r="F25" s="84"/>
      <c r="G25" s="85"/>
      <c r="H25" s="1"/>
      <c r="I25" s="1"/>
    </row>
    <row r="26" spans="1:9" x14ac:dyDescent="0.25">
      <c r="A26" s="1"/>
      <c r="B26" s="1"/>
      <c r="C26" s="6" t="s">
        <v>174</v>
      </c>
      <c r="D26" s="83" t="s">
        <v>75</v>
      </c>
      <c r="E26" s="84"/>
      <c r="F26" s="84"/>
      <c r="G26" s="85"/>
      <c r="H26" s="1"/>
      <c r="I26" s="1"/>
    </row>
    <row r="27" spans="1:9" x14ac:dyDescent="0.25">
      <c r="A27" s="1"/>
      <c r="B27" s="1"/>
      <c r="C27" s="6" t="s">
        <v>89</v>
      </c>
      <c r="D27" s="83" t="s">
        <v>103</v>
      </c>
      <c r="E27" s="84"/>
      <c r="F27" s="84"/>
      <c r="G27" s="85"/>
      <c r="H27" s="1"/>
      <c r="I27" s="1"/>
    </row>
    <row r="28" spans="1:9" x14ac:dyDescent="0.25">
      <c r="A28" s="1"/>
      <c r="B28" s="1"/>
      <c r="C28" s="6" t="s">
        <v>83</v>
      </c>
      <c r="D28" s="83" t="s">
        <v>32</v>
      </c>
      <c r="E28" s="84"/>
      <c r="F28" s="84"/>
      <c r="G28" s="85"/>
      <c r="H28" s="1"/>
      <c r="I28" s="1"/>
    </row>
    <row r="29" spans="1:9" x14ac:dyDescent="0.25">
      <c r="A29" s="1"/>
      <c r="B29" s="1"/>
      <c r="C29" s="6" t="s">
        <v>175</v>
      </c>
      <c r="D29" s="91" t="s">
        <v>84</v>
      </c>
      <c r="E29" s="92"/>
      <c r="F29" s="92"/>
      <c r="G29" s="93"/>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nIpHhwxLjaym7S6CRaO6P8mjn+wJhFwTtBEr+m5MTTz6a5wldJVbwzQfQv0GDolOufuC1Fm7IMXUeFOUo70uvg==" saltValue="oKPF+Sv7CcPNf+V+hLae8w=="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150561704.71156198</v>
      </c>
      <c r="D8" s="8" t="s">
        <v>3</v>
      </c>
      <c r="E8" s="1"/>
    </row>
    <row r="9" spans="1:5" ht="17.100000000000001" customHeight="1" x14ac:dyDescent="0.25">
      <c r="A9" s="1"/>
      <c r="B9" s="24" t="s">
        <v>33</v>
      </c>
      <c r="C9" s="7">
        <f>'Fane 10.1. Varige tillæg'!C18</f>
        <v>1127395.4495999999</v>
      </c>
      <c r="D9" s="8" t="s">
        <v>3</v>
      </c>
      <c r="E9" s="1"/>
    </row>
    <row r="10" spans="1:5" ht="17.100000000000001" customHeight="1" x14ac:dyDescent="0.25">
      <c r="A10" s="1"/>
      <c r="B10" s="24" t="s">
        <v>34</v>
      </c>
      <c r="C10" s="9">
        <f>'Fane 10.1. Varige tillæg'!E18</f>
        <v>4734392.5215999996</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5833629.1558045661</v>
      </c>
      <c r="D15" s="8" t="s">
        <v>3</v>
      </c>
      <c r="E15" s="1"/>
    </row>
    <row r="16" spans="1:5" ht="17.100000000000001" customHeight="1" x14ac:dyDescent="0.25">
      <c r="A16" s="1"/>
      <c r="B16" s="24" t="s">
        <v>9</v>
      </c>
      <c r="C16" s="9">
        <f>-SUM(C8,C9:C15)*'Fane 5. Individuelt eff. krav'!G9</f>
        <v>-3245142.4367713314</v>
      </c>
      <c r="D16" s="8" t="s">
        <v>3</v>
      </c>
      <c r="E16" s="1"/>
    </row>
    <row r="17" spans="1:5" ht="17.100000000000001" customHeight="1" x14ac:dyDescent="0.25">
      <c r="A17" s="1"/>
      <c r="B17" s="24" t="s">
        <v>22</v>
      </c>
      <c r="C17" s="9">
        <f>-'Fane 4.1. Gen. krav - drift'!G49</f>
        <v>-1183208.3682332719</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157828771.03356197</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80996524.834753916</v>
      </c>
      <c r="D21" s="11" t="s">
        <v>3</v>
      </c>
      <c r="E21" s="1"/>
    </row>
    <row r="22" spans="1:5" ht="15" customHeight="1" x14ac:dyDescent="0.25">
      <c r="A22" s="1"/>
      <c r="B22" s="52" t="s">
        <v>75</v>
      </c>
      <c r="C22" s="53"/>
      <c r="D22" s="19"/>
      <c r="E22" s="1"/>
    </row>
    <row r="23" spans="1:5" ht="15" customHeight="1" x14ac:dyDescent="0.25">
      <c r="A23" s="1"/>
      <c r="B23" s="24" t="s">
        <v>71</v>
      </c>
      <c r="C23" s="9">
        <f>'Fane 10.2. Engangstillæg'!C14</f>
        <v>530625.93910592003</v>
      </c>
      <c r="D23" s="8" t="s">
        <v>3</v>
      </c>
      <c r="E23" s="1"/>
    </row>
    <row r="24" spans="1:5" ht="15" customHeight="1" x14ac:dyDescent="0.25">
      <c r="A24" s="1"/>
      <c r="B24" s="24" t="s">
        <v>72</v>
      </c>
      <c r="C24" s="9">
        <f>'Fane 10.2. Engangstillæg'!E14</f>
        <v>0</v>
      </c>
      <c r="D24" s="8" t="s">
        <v>3</v>
      </c>
      <c r="E24" s="1"/>
    </row>
    <row r="25" spans="1:5" ht="15" customHeight="1" x14ac:dyDescent="0.25">
      <c r="A25" s="1"/>
      <c r="B25" s="24" t="s">
        <v>164</v>
      </c>
      <c r="C25" s="9">
        <f>-C23*('Fane 13. Nøgletal'!C33+'Fane 5. Individuelt eff. krav'!G9)</f>
        <v>-21225.037564236802</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10">
        <f>SUM(C23:C26)</f>
        <v>509400.90154168324</v>
      </c>
      <c r="D27" s="11" t="s">
        <v>3</v>
      </c>
      <c r="E27" s="1"/>
    </row>
    <row r="28" spans="1:5" ht="15" customHeight="1" x14ac:dyDescent="0.25">
      <c r="A28" s="1"/>
      <c r="B28" s="26" t="s">
        <v>117</v>
      </c>
      <c r="C28" s="53"/>
      <c r="D28" s="19"/>
      <c r="E28" s="1"/>
    </row>
    <row r="29" spans="1:5" x14ac:dyDescent="0.25">
      <c r="A29" s="1"/>
      <c r="B29" s="72" t="s">
        <v>118</v>
      </c>
      <c r="C29" s="10">
        <f>'Fane 7. Kontrol af ØR2022'!E27</f>
        <v>3371234</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26" t="s">
        <v>266</v>
      </c>
      <c r="C32" s="53"/>
      <c r="D32" s="19"/>
      <c r="E32" s="1"/>
    </row>
    <row r="33" spans="1:5" x14ac:dyDescent="0.25">
      <c r="A33" s="1"/>
      <c r="B33" s="72" t="s">
        <v>267</v>
      </c>
      <c r="C33" s="10">
        <v>3397510.6420797696</v>
      </c>
      <c r="D33" s="11" t="s">
        <v>3</v>
      </c>
      <c r="E33" s="1"/>
    </row>
    <row r="34" spans="1:5" x14ac:dyDescent="0.25">
      <c r="A34" s="1"/>
      <c r="B34" s="52" t="s">
        <v>126</v>
      </c>
      <c r="C34" s="33">
        <f>SUM(C19,C21,C27,C29,C31,C33)</f>
        <v>246103441.41193733</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vZnuEMO4ARi8Y6OjSLFbiR0cCSsGYkBixsHiQqaSIU/qZLYYMP58+Fr7/3TnIOIEr3va6voxyC+jrQ/t8yCQgg==" saltValue="BoJyrijPp2zG+NJLF/Jwl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157828771.03356197</v>
      </c>
      <c r="D8" s="8" t="s">
        <v>3</v>
      </c>
      <c r="E8" s="1"/>
    </row>
    <row r="9" spans="1:5" ht="15" customHeight="1" x14ac:dyDescent="0.25">
      <c r="A9" s="1"/>
      <c r="B9" s="29" t="s">
        <v>17</v>
      </c>
      <c r="C9" s="9">
        <f>SUM(C8:C8)*'Fane 13. Nøgletal'!C16</f>
        <v>12752564.699511807</v>
      </c>
      <c r="D9" s="8" t="s">
        <v>3</v>
      </c>
      <c r="E9" s="1"/>
    </row>
    <row r="10" spans="1:5" ht="15" customHeight="1" x14ac:dyDescent="0.25">
      <c r="A10" s="1"/>
      <c r="B10" s="29" t="s">
        <v>9</v>
      </c>
      <c r="C10" s="9">
        <f>-SUM(C8:C9)*'Fane 5. Individuelt eff. krav'!G9</f>
        <v>-3411626.7146614753</v>
      </c>
      <c r="D10" s="8" t="s">
        <v>3</v>
      </c>
      <c r="E10" s="1"/>
    </row>
    <row r="11" spans="1:5" ht="15" customHeight="1" x14ac:dyDescent="0.25">
      <c r="A11" s="1"/>
      <c r="B11" s="29" t="s">
        <v>22</v>
      </c>
      <c r="C11" s="9">
        <f>-'Fane 4.1. Gen. krav - drift'!G54</f>
        <v>-1253235.3722987899</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165916473.64611351</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87541044.041402027</v>
      </c>
      <c r="D15" s="11" t="s">
        <v>3</v>
      </c>
      <c r="E15" s="1"/>
    </row>
    <row r="16" spans="1:5" x14ac:dyDescent="0.25">
      <c r="A16" s="1"/>
      <c r="B16" s="26" t="s">
        <v>117</v>
      </c>
      <c r="C16" s="53"/>
      <c r="D16" s="19"/>
      <c r="E16" s="1"/>
    </row>
    <row r="17" spans="1:5" ht="15" customHeight="1" x14ac:dyDescent="0.25">
      <c r="A17" s="1"/>
      <c r="B17" s="72" t="s">
        <v>118</v>
      </c>
      <c r="C17" s="10">
        <f>'Fane 7. Kontrol af ØR2022'!E33</f>
        <v>0</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253457517.68751556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qo+RJGKALKn+4wh0R/dEnjnd+pT59cOWa/26Z1h+in9wGdfzVwtuMUMGueDnUVLyUqqXfd0C4JYg/6IiuUQjw==" saltValue="Qh3SLhlBkKnSBxVDFCtHo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2.570312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165916473.64611351</v>
      </c>
      <c r="D8" s="8" t="s">
        <v>3</v>
      </c>
      <c r="E8" s="1"/>
    </row>
    <row r="9" spans="1:5" ht="15" customHeight="1" x14ac:dyDescent="0.25">
      <c r="A9" s="1"/>
      <c r="B9" s="29" t="s">
        <v>17</v>
      </c>
      <c r="C9" s="9">
        <f>SUM(C8:C8)*'Fane 13. Nøgletal'!C16</f>
        <v>13406051.070605971</v>
      </c>
      <c r="D9" s="8" t="s">
        <v>3</v>
      </c>
      <c r="E9" s="1"/>
    </row>
    <row r="10" spans="1:5" ht="15" customHeight="1" x14ac:dyDescent="0.25">
      <c r="A10" s="1"/>
      <c r="B10" s="29" t="s">
        <v>9</v>
      </c>
      <c r="C10" s="9">
        <f>-SUM(C8:C9)*'Fane 5. Individuelt eff. krav'!G9</f>
        <v>-3586450.4943343895</v>
      </c>
      <c r="D10" s="8" t="s">
        <v>3</v>
      </c>
      <c r="E10" s="1"/>
    </row>
    <row r="11" spans="1:5" ht="15" customHeight="1" x14ac:dyDescent="0.25">
      <c r="A11" s="1"/>
      <c r="B11" s="29" t="s">
        <v>22</v>
      </c>
      <c r="C11" s="9">
        <f>-'Fane 4.1. Gen. krav - drift'!G59</f>
        <v>-1327406.8545729215</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174408667.36781216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94614360.399947315</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269023027.76775944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a3IuQ4coQ2GNdcWzir5t9mY3do30rWrf/6BD2dnWREgaCQcu9O502ncJ0dfN+kz19JHKvfyUkW0u2a91MdQ3w==" saltValue="NL8BgXQcsvOmLDFIyr4Re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2.570312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174408667.36781216</v>
      </c>
      <c r="D8" s="8" t="s">
        <v>3</v>
      </c>
      <c r="E8" s="1"/>
    </row>
    <row r="9" spans="1:5" ht="15" customHeight="1" x14ac:dyDescent="0.25">
      <c r="A9" s="1"/>
      <c r="B9" s="29" t="s">
        <v>17</v>
      </c>
      <c r="C9" s="9">
        <f>SUM(C8:C8)*'Fane 13. Nøgletal'!C16</f>
        <v>14092220.323319221</v>
      </c>
      <c r="D9" s="8" t="s">
        <v>3</v>
      </c>
      <c r="E9" s="1"/>
    </row>
    <row r="10" spans="1:5" ht="15" customHeight="1" x14ac:dyDescent="0.25">
      <c r="A10" s="1"/>
      <c r="B10" s="29" t="s">
        <v>9</v>
      </c>
      <c r="C10" s="9">
        <f>-SUM(C8:C9)*'Fane 5. Individuelt eff. krav'!G9</f>
        <v>-3770017.7538226279</v>
      </c>
      <c r="D10" s="8" t="s">
        <v>3</v>
      </c>
      <c r="E10" s="1"/>
    </row>
    <row r="11" spans="1:5" ht="15" customHeight="1" x14ac:dyDescent="0.25">
      <c r="A11" s="1"/>
      <c r="B11" s="29" t="s">
        <v>22</v>
      </c>
      <c r="C11" s="9">
        <f>-'Fane 4.1. Gen. krav - drift'!G64</f>
        <v>-1405968.1018539653</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183324901.83545479</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102259200.72026305</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285584102.55571783</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uoyfD6ovjTdbeXcpUzbK0RiCzJHESCLkvVbeP0i4/hoGy3EXO0iaUNjCwyIxbvvZFZxyIjrfVo+60yNXON9pg==" saltValue="Fg3PO7HCU4KJ1P/n0u+Wm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147777484.26851717</v>
      </c>
      <c r="D8" s="8" t="s">
        <v>3</v>
      </c>
      <c r="E8" s="1"/>
    </row>
    <row r="9" spans="1:5" x14ac:dyDescent="0.25">
      <c r="A9" s="1"/>
      <c r="B9" s="24" t="s">
        <v>33</v>
      </c>
      <c r="C9" s="7">
        <v>1249700.9796000002</v>
      </c>
      <c r="D9" s="8" t="s">
        <v>3</v>
      </c>
      <c r="E9" s="1"/>
    </row>
    <row r="10" spans="1:5" x14ac:dyDescent="0.25">
      <c r="A10" s="1"/>
      <c r="B10" s="24" t="s">
        <v>34</v>
      </c>
      <c r="C10" s="9">
        <v>450928.20120000001</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5321420.8387956917</v>
      </c>
      <c r="D15" s="8" t="s">
        <v>3</v>
      </c>
      <c r="E15" s="1"/>
    </row>
    <row r="16" spans="1:5" x14ac:dyDescent="0.25">
      <c r="A16" s="1"/>
      <c r="B16" s="24" t="s">
        <v>9</v>
      </c>
      <c r="C16" s="9">
        <v>-3095990.6857622578</v>
      </c>
      <c r="D16" s="8" t="s">
        <v>3</v>
      </c>
      <c r="E16" s="1"/>
    </row>
    <row r="17" spans="1:5" x14ac:dyDescent="0.25">
      <c r="A17" s="1"/>
      <c r="B17" s="24" t="s">
        <v>22</v>
      </c>
      <c r="C17" s="9">
        <v>-1141838.8907886569</v>
      </c>
      <c r="D17" s="8" t="s">
        <v>3</v>
      </c>
      <c r="E17" s="1"/>
    </row>
    <row r="18" spans="1:5" x14ac:dyDescent="0.25">
      <c r="A18" s="1"/>
      <c r="B18" s="24" t="s">
        <v>23</v>
      </c>
      <c r="C18" s="9">
        <v>0</v>
      </c>
      <c r="D18" s="8" t="s">
        <v>3</v>
      </c>
      <c r="E18" s="1"/>
    </row>
    <row r="19" spans="1:5" x14ac:dyDescent="0.25">
      <c r="A19" s="1"/>
      <c r="B19" s="73" t="s">
        <v>19</v>
      </c>
      <c r="C19" s="10">
        <v>150561704.71156198</v>
      </c>
      <c r="D19" s="11" t="s">
        <v>3</v>
      </c>
      <c r="E19" s="1"/>
    </row>
    <row r="20" spans="1:5" x14ac:dyDescent="0.25">
      <c r="A20" s="1"/>
      <c r="B20" s="52" t="s">
        <v>11</v>
      </c>
      <c r="C20" s="53"/>
      <c r="D20" s="19"/>
      <c r="E20" s="1"/>
    </row>
    <row r="21" spans="1:5" x14ac:dyDescent="0.25">
      <c r="A21" s="1"/>
      <c r="B21" s="54" t="s">
        <v>11</v>
      </c>
      <c r="C21" s="10">
        <v>75949209.526839852</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7">
        <v>0</v>
      </c>
      <c r="D27" s="11" t="s">
        <v>3</v>
      </c>
      <c r="E27" s="1"/>
    </row>
    <row r="28" spans="1:5" x14ac:dyDescent="0.25">
      <c r="A28" s="1"/>
      <c r="B28" s="26" t="s">
        <v>117</v>
      </c>
      <c r="C28" s="53"/>
      <c r="D28" s="19"/>
      <c r="E28" s="1"/>
    </row>
    <row r="29" spans="1:5" x14ac:dyDescent="0.25">
      <c r="A29" s="1"/>
      <c r="B29" s="72" t="s">
        <v>118</v>
      </c>
      <c r="C29" s="10">
        <v>-3371233.9129490554</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223139680.32545277</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1eYU8xqH+iP4J88s7yqNRTKlgCapp6mNKo33ur8ojCR5zvyKM0ftCDsj/dSLvsIsnkkBCX7vjY7uSSPgR8Vd8A==" saltValue="AFbnLgLmdOvmtmE5kAX3QQ=="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7" t="s">
        <v>44</v>
      </c>
      <c r="C4" s="108"/>
      <c r="D4" s="108"/>
      <c r="E4" s="108"/>
      <c r="F4" s="108"/>
      <c r="G4" s="108"/>
      <c r="H4" s="109"/>
      <c r="I4" s="1"/>
    </row>
    <row r="5" spans="1:9" x14ac:dyDescent="0.25">
      <c r="A5" s="1"/>
      <c r="B5" s="101" t="s">
        <v>36</v>
      </c>
      <c r="C5" s="102"/>
      <c r="D5" s="102"/>
      <c r="E5" s="102"/>
      <c r="F5" s="103"/>
      <c r="G5" s="47">
        <v>53501163.982203498</v>
      </c>
      <c r="H5" s="14" t="s">
        <v>3</v>
      </c>
      <c r="I5" s="1"/>
    </row>
    <row r="6" spans="1:9" x14ac:dyDescent="0.25">
      <c r="A6" s="1"/>
      <c r="B6" s="101" t="s">
        <v>37</v>
      </c>
      <c r="C6" s="102"/>
      <c r="D6" s="102"/>
      <c r="E6" s="102"/>
      <c r="F6" s="103"/>
      <c r="G6" s="22">
        <f>G5*'Fane 13. Nøgletal'!C33</f>
        <v>1070023.27964407</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7" t="s">
        <v>45</v>
      </c>
      <c r="C9" s="108"/>
      <c r="D9" s="108"/>
      <c r="E9" s="108"/>
      <c r="F9" s="108"/>
      <c r="G9" s="108"/>
      <c r="H9" s="109"/>
      <c r="I9" s="1"/>
    </row>
    <row r="10" spans="1:9" x14ac:dyDescent="0.25">
      <c r="A10" s="1"/>
      <c r="B10" s="101" t="s">
        <v>38</v>
      </c>
      <c r="C10" s="102"/>
      <c r="D10" s="102"/>
      <c r="E10" s="102"/>
      <c r="F10" s="103"/>
      <c r="G10" s="22">
        <f>(G5-G6)*(1+'Fane 13. Nøgletal'!C9)</f>
        <v>53097016.189481929</v>
      </c>
      <c r="H10" s="14" t="s">
        <v>3</v>
      </c>
      <c r="I10" s="1"/>
    </row>
    <row r="11" spans="1:9" x14ac:dyDescent="0.25">
      <c r="A11" s="1"/>
      <c r="B11" s="104" t="s">
        <v>228</v>
      </c>
      <c r="C11" s="105"/>
      <c r="D11" s="105"/>
      <c r="E11" s="105"/>
      <c r="F11" s="106"/>
      <c r="G11" s="47">
        <v>0</v>
      </c>
      <c r="H11" s="14" t="s">
        <v>3</v>
      </c>
      <c r="I11" s="1"/>
    </row>
    <row r="12" spans="1:9" x14ac:dyDescent="0.25">
      <c r="A12" s="1"/>
      <c r="B12" s="101" t="s">
        <v>39</v>
      </c>
      <c r="C12" s="102"/>
      <c r="D12" s="102"/>
      <c r="E12" s="102"/>
      <c r="F12" s="103"/>
      <c r="G12" s="22">
        <f>(G10+G11)*'Fane 13. Nøgletal'!C33</f>
        <v>1061940.3237896387</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7" t="s">
        <v>46</v>
      </c>
      <c r="C15" s="108"/>
      <c r="D15" s="108"/>
      <c r="E15" s="108"/>
      <c r="F15" s="108"/>
      <c r="G15" s="108"/>
      <c r="H15" s="109"/>
      <c r="I15" s="1"/>
    </row>
    <row r="16" spans="1:9" x14ac:dyDescent="0.25">
      <c r="A16" s="1"/>
      <c r="B16" s="101" t="s">
        <v>40</v>
      </c>
      <c r="C16" s="102"/>
      <c r="D16" s="102"/>
      <c r="E16" s="102"/>
      <c r="F16" s="103"/>
      <c r="G16" s="22">
        <f>(G10+G11-G12)*(1+'Fane 13. Nøgletal'!C11)</f>
        <v>52914468.647822484</v>
      </c>
      <c r="H16" s="14" t="s">
        <v>3</v>
      </c>
      <c r="I16" s="1"/>
    </row>
    <row r="17" spans="1:9" x14ac:dyDescent="0.25">
      <c r="A17" s="1"/>
      <c r="B17" s="101" t="s">
        <v>100</v>
      </c>
      <c r="C17" s="102"/>
      <c r="D17" s="102"/>
      <c r="E17" s="102"/>
      <c r="F17" s="103"/>
      <c r="G17" s="47">
        <v>0</v>
      </c>
      <c r="H17" s="14" t="s">
        <v>3</v>
      </c>
      <c r="I17" s="1"/>
    </row>
    <row r="18" spans="1:9" x14ac:dyDescent="0.25">
      <c r="A18" s="1"/>
      <c r="B18" s="104" t="s">
        <v>229</v>
      </c>
      <c r="C18" s="105"/>
      <c r="D18" s="105"/>
      <c r="E18" s="105"/>
      <c r="F18" s="106"/>
      <c r="G18" s="47">
        <v>0</v>
      </c>
      <c r="H18" s="14" t="s">
        <v>3</v>
      </c>
      <c r="I18" s="1"/>
    </row>
    <row r="19" spans="1:9" x14ac:dyDescent="0.25">
      <c r="A19" s="1"/>
      <c r="B19" s="101" t="s">
        <v>41</v>
      </c>
      <c r="C19" s="102"/>
      <c r="D19" s="102"/>
      <c r="E19" s="102"/>
      <c r="F19" s="103"/>
      <c r="G19" s="22">
        <f>SUM(G16:G18)*'Fane 13. Nøgletal'!C33</f>
        <v>1058289.3729564496</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7" t="s">
        <v>47</v>
      </c>
      <c r="C22" s="108"/>
      <c r="D22" s="108"/>
      <c r="E22" s="108"/>
      <c r="F22" s="108"/>
      <c r="G22" s="108"/>
      <c r="H22" s="109"/>
      <c r="I22" s="1"/>
    </row>
    <row r="23" spans="1:9" x14ac:dyDescent="0.25">
      <c r="A23" s="1"/>
      <c r="B23" s="101" t="s">
        <v>42</v>
      </c>
      <c r="C23" s="102"/>
      <c r="D23" s="102"/>
      <c r="E23" s="102"/>
      <c r="F23" s="103"/>
      <c r="G23" s="22">
        <f>(SUM(G16:G18)-G19)*(1+'Fane 13. Nøgletal'!C11)</f>
        <v>52732548.704611272</v>
      </c>
      <c r="H23" s="14" t="s">
        <v>3</v>
      </c>
      <c r="I23" s="1"/>
    </row>
    <row r="24" spans="1:9" x14ac:dyDescent="0.25">
      <c r="A24" s="1"/>
      <c r="B24" s="104" t="s">
        <v>230</v>
      </c>
      <c r="C24" s="105"/>
      <c r="D24" s="105"/>
      <c r="E24" s="105"/>
      <c r="F24" s="106"/>
      <c r="G24" s="47">
        <v>976045.96071873012</v>
      </c>
      <c r="H24" s="14" t="s">
        <v>3</v>
      </c>
      <c r="I24" s="1"/>
    </row>
    <row r="25" spans="1:9" x14ac:dyDescent="0.25">
      <c r="A25" s="1"/>
      <c r="B25" s="101" t="s">
        <v>43</v>
      </c>
      <c r="C25" s="102"/>
      <c r="D25" s="102"/>
      <c r="E25" s="102"/>
      <c r="F25" s="103"/>
      <c r="G25" s="22">
        <f>(G23+G24)*'Fane 13. Nøgletal'!C33</f>
        <v>1074171.8933065999</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7" t="s">
        <v>121</v>
      </c>
      <c r="C28" s="108"/>
      <c r="D28" s="108"/>
      <c r="E28" s="108"/>
      <c r="F28" s="108"/>
      <c r="G28" s="108"/>
      <c r="H28" s="109"/>
      <c r="I28" s="1"/>
    </row>
    <row r="29" spans="1:9" x14ac:dyDescent="0.25">
      <c r="A29" s="1"/>
      <c r="B29" s="101" t="s">
        <v>50</v>
      </c>
      <c r="C29" s="102"/>
      <c r="D29" s="102"/>
      <c r="E29" s="102"/>
      <c r="F29" s="103"/>
      <c r="G29" s="22">
        <f>(G23+G24-G25)*(1+'Fane 13. Nøgletal'!C13)</f>
        <v>53276562.729842089</v>
      </c>
      <c r="H29" s="14" t="s">
        <v>3</v>
      </c>
      <c r="I29" s="1"/>
    </row>
    <row r="30" spans="1:9" x14ac:dyDescent="0.25">
      <c r="A30" s="1"/>
      <c r="B30" s="101" t="s">
        <v>231</v>
      </c>
      <c r="C30" s="102"/>
      <c r="D30" s="102"/>
      <c r="E30" s="102"/>
      <c r="F30" s="103"/>
      <c r="G30" s="47">
        <v>979447.17551435996</v>
      </c>
      <c r="H30" s="14" t="s">
        <v>3</v>
      </c>
      <c r="I30" s="1"/>
    </row>
    <row r="31" spans="1:9" x14ac:dyDescent="0.25">
      <c r="A31" s="1"/>
      <c r="B31" s="101" t="s">
        <v>115</v>
      </c>
      <c r="C31" s="102"/>
      <c r="D31" s="102"/>
      <c r="E31" s="102"/>
      <c r="F31" s="103"/>
      <c r="G31" s="22">
        <f>(G29+G30)*'Fane 13. Nøgletal'!C33</f>
        <v>1085120.198107129</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7" t="s">
        <v>122</v>
      </c>
      <c r="C34" s="108"/>
      <c r="D34" s="108"/>
      <c r="E34" s="108"/>
      <c r="F34" s="108"/>
      <c r="G34" s="108"/>
      <c r="H34" s="109"/>
      <c r="I34" s="1"/>
    </row>
    <row r="35" spans="1:9" x14ac:dyDescent="0.25">
      <c r="A35" s="1"/>
      <c r="B35" s="101" t="s">
        <v>69</v>
      </c>
      <c r="C35" s="102"/>
      <c r="D35" s="102"/>
      <c r="E35" s="102"/>
      <c r="F35" s="103"/>
      <c r="G35" s="22">
        <f>(G29+G30-G31)*(1+'Fane 13. Nøgletal'!C13)</f>
        <v>53819574.561677761</v>
      </c>
      <c r="H35" s="14" t="s">
        <v>3</v>
      </c>
      <c r="I35" s="1"/>
    </row>
    <row r="36" spans="1:9" x14ac:dyDescent="0.25">
      <c r="A36" s="1"/>
      <c r="B36" s="101" t="s">
        <v>232</v>
      </c>
      <c r="C36" s="102"/>
      <c r="D36" s="102"/>
      <c r="E36" s="102"/>
      <c r="F36" s="103"/>
      <c r="G36" s="47">
        <v>1159648.9634393703</v>
      </c>
      <c r="H36" s="14" t="s">
        <v>3</v>
      </c>
      <c r="I36" s="1"/>
    </row>
    <row r="37" spans="1:9" x14ac:dyDescent="0.25">
      <c r="A37" s="1"/>
      <c r="B37" s="101" t="s">
        <v>123</v>
      </c>
      <c r="C37" s="102"/>
      <c r="D37" s="102"/>
      <c r="E37" s="102"/>
      <c r="F37" s="103"/>
      <c r="G37" s="22">
        <f>(G35+G36)*'Fane 13. Nøgletal'!C33</f>
        <v>1099584.4705023426</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7" t="s">
        <v>157</v>
      </c>
      <c r="C40" s="108"/>
      <c r="D40" s="108"/>
      <c r="E40" s="108"/>
      <c r="F40" s="108"/>
      <c r="G40" s="108"/>
      <c r="H40" s="109"/>
      <c r="I40" s="1"/>
    </row>
    <row r="41" spans="1:9" x14ac:dyDescent="0.25">
      <c r="A41" s="1"/>
      <c r="B41" s="101" t="s">
        <v>68</v>
      </c>
      <c r="C41" s="102"/>
      <c r="D41" s="102"/>
      <c r="E41" s="102"/>
      <c r="F41" s="103"/>
      <c r="G41" s="22">
        <f>(G35+G36-G37)*(1+'Fane 13. Nøgletal'!C15)</f>
        <v>55797754.20495908</v>
      </c>
      <c r="H41" s="14" t="s">
        <v>3</v>
      </c>
      <c r="I41" s="1"/>
    </row>
    <row r="42" spans="1:9" x14ac:dyDescent="0.25">
      <c r="A42" s="1"/>
      <c r="B42" s="101" t="s">
        <v>156</v>
      </c>
      <c r="C42" s="102"/>
      <c r="D42" s="102"/>
      <c r="E42" s="102"/>
      <c r="F42" s="103"/>
      <c r="G42" s="22">
        <v>1294190.3344737603</v>
      </c>
      <c r="H42" s="14" t="s">
        <v>3</v>
      </c>
      <c r="I42" s="1"/>
    </row>
    <row r="43" spans="1:9" x14ac:dyDescent="0.25">
      <c r="A43" s="1"/>
      <c r="B43" s="101" t="s">
        <v>166</v>
      </c>
      <c r="C43" s="102"/>
      <c r="D43" s="102"/>
      <c r="E43" s="102"/>
      <c r="F43" s="103"/>
      <c r="G43" s="22">
        <f>(G41+G42)*'Fane 13. Nøgletal'!C33</f>
        <v>1141838.8907886569</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7" t="s">
        <v>158</v>
      </c>
      <c r="C46" s="108"/>
      <c r="D46" s="108"/>
      <c r="E46" s="108"/>
      <c r="F46" s="108"/>
      <c r="G46" s="108"/>
      <c r="H46" s="109"/>
      <c r="I46" s="1"/>
    </row>
    <row r="47" spans="1:9" x14ac:dyDescent="0.25">
      <c r="A47" s="1"/>
      <c r="B47" s="101" t="s">
        <v>112</v>
      </c>
      <c r="C47" s="102"/>
      <c r="D47" s="102"/>
      <c r="E47" s="102"/>
      <c r="F47" s="103"/>
      <c r="G47" s="22">
        <f>(G41+G42-G43)*(1+'Fane 13. Nøgletal'!C15)</f>
        <v>57941929.409735918</v>
      </c>
      <c r="H47" s="14" t="s">
        <v>3</v>
      </c>
      <c r="I47" s="1"/>
    </row>
    <row r="48" spans="1:9" x14ac:dyDescent="0.25">
      <c r="A48" s="1"/>
      <c r="B48" s="101" t="s">
        <v>206</v>
      </c>
      <c r="C48" s="102"/>
      <c r="D48" s="102"/>
      <c r="E48" s="102"/>
      <c r="F48" s="103"/>
      <c r="G48" s="22">
        <f>('Fane 2.1. Økonomisk ramme 2024'!C9+'Fane 2.1. Økonomisk ramme 2024'!C11+'Fane 2.1. Økonomisk ramme 2024'!C13)*(1+'Fane 13. Nøgletal'!C16)</f>
        <v>1218489.0019276799</v>
      </c>
      <c r="H48" s="14" t="s">
        <v>3</v>
      </c>
      <c r="I48" s="1"/>
    </row>
    <row r="49" spans="1:9" x14ac:dyDescent="0.25">
      <c r="A49" s="1"/>
      <c r="B49" s="101" t="s">
        <v>167</v>
      </c>
      <c r="C49" s="102"/>
      <c r="D49" s="102"/>
      <c r="E49" s="102"/>
      <c r="F49" s="103"/>
      <c r="G49" s="22">
        <f>G47*'Fane 13. Nøgletal'!C33+G48*'Fane 13. Nøgletal'!C33</f>
        <v>1183208.3682332719</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7" t="s">
        <v>133</v>
      </c>
      <c r="C52" s="108"/>
      <c r="D52" s="108"/>
      <c r="E52" s="108"/>
      <c r="F52" s="108"/>
      <c r="G52" s="108"/>
      <c r="H52" s="109"/>
      <c r="I52" s="1"/>
    </row>
    <row r="53" spans="1:9" x14ac:dyDescent="0.25">
      <c r="A53" s="1"/>
      <c r="B53" s="101" t="s">
        <v>134</v>
      </c>
      <c r="C53" s="102"/>
      <c r="D53" s="102"/>
      <c r="E53" s="102"/>
      <c r="F53" s="103"/>
      <c r="G53" s="22">
        <f>(G47+G48-G49)*(1+'Fane 13. Nøgletal'!C16)</f>
        <v>62661768.614939496</v>
      </c>
      <c r="H53" s="14" t="s">
        <v>3</v>
      </c>
      <c r="I53" s="1"/>
    </row>
    <row r="54" spans="1:9" x14ac:dyDescent="0.25">
      <c r="A54" s="1"/>
      <c r="B54" s="101" t="s">
        <v>135</v>
      </c>
      <c r="C54" s="102"/>
      <c r="D54" s="102"/>
      <c r="E54" s="102"/>
      <c r="F54" s="103"/>
      <c r="G54" s="22">
        <f>(G53)*'Fane 13. Nøgletal'!C33</f>
        <v>1253235.3722987899</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7" t="s">
        <v>144</v>
      </c>
      <c r="C57" s="108"/>
      <c r="D57" s="108"/>
      <c r="E57" s="108"/>
      <c r="F57" s="108"/>
      <c r="G57" s="108"/>
      <c r="H57" s="109"/>
      <c r="I57" s="1"/>
    </row>
    <row r="58" spans="1:9" x14ac:dyDescent="0.25">
      <c r="A58" s="1"/>
      <c r="B58" s="101" t="s">
        <v>145</v>
      </c>
      <c r="C58" s="102"/>
      <c r="D58" s="102"/>
      <c r="E58" s="102"/>
      <c r="F58" s="103"/>
      <c r="G58" s="22">
        <f>(G53-G54)*(1+'Fane 13. Nøgletal'!C16)</f>
        <v>66370342.72864607</v>
      </c>
      <c r="H58" s="14" t="s">
        <v>3</v>
      </c>
      <c r="I58" s="1"/>
    </row>
    <row r="59" spans="1:9" x14ac:dyDescent="0.25">
      <c r="A59" s="1"/>
      <c r="B59" s="101" t="s">
        <v>146</v>
      </c>
      <c r="C59" s="102"/>
      <c r="D59" s="102"/>
      <c r="E59" s="102"/>
      <c r="F59" s="103"/>
      <c r="G59" s="22">
        <f>(G58)*'Fane 13. Nøgletal'!C33</f>
        <v>1327406.8545729215</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7" t="s">
        <v>220</v>
      </c>
      <c r="C62" s="108"/>
      <c r="D62" s="108"/>
      <c r="E62" s="108"/>
      <c r="F62" s="108"/>
      <c r="G62" s="108"/>
      <c r="H62" s="109"/>
      <c r="I62" s="1"/>
    </row>
    <row r="63" spans="1:9" x14ac:dyDescent="0.25">
      <c r="A63" s="1"/>
      <c r="B63" s="101" t="s">
        <v>221</v>
      </c>
      <c r="C63" s="102"/>
      <c r="D63" s="102"/>
      <c r="E63" s="102"/>
      <c r="F63" s="103"/>
      <c r="G63" s="22">
        <f>(G58-G59)*(1+'Fane 13. Nøgletal'!C16)</f>
        <v>70298405.092698261</v>
      </c>
      <c r="H63" s="14" t="s">
        <v>3</v>
      </c>
      <c r="I63" s="1"/>
    </row>
    <row r="64" spans="1:9" x14ac:dyDescent="0.25">
      <c r="A64" s="1"/>
      <c r="B64" s="101" t="s">
        <v>222</v>
      </c>
      <c r="C64" s="102"/>
      <c r="D64" s="102"/>
      <c r="E64" s="102"/>
      <c r="F64" s="103"/>
      <c r="G64" s="22">
        <f>(G63)*'Fane 13. Nøgletal'!C33</f>
        <v>1405968.1018539653</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hfujHJpS29Faqlxwt7JneKGgm+hgv8lrI8tw5CbTQA49Ou/zQ+sQqlJiT9+dZKMo7Q8uRkV+/I1vCQojMXP1Ow==" saltValue="h2xglqPjlSgNVxqDbDux6g=="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7" t="s">
        <v>48</v>
      </c>
      <c r="C4" s="108"/>
      <c r="D4" s="108"/>
      <c r="E4" s="108"/>
      <c r="F4" s="108"/>
      <c r="G4" s="108"/>
      <c r="H4" s="109"/>
      <c r="I4" s="1"/>
    </row>
    <row r="5" spans="1:9" x14ac:dyDescent="0.25">
      <c r="A5" s="1"/>
      <c r="B5" s="101" t="s">
        <v>51</v>
      </c>
      <c r="C5" s="102"/>
      <c r="D5" s="102"/>
      <c r="E5" s="102"/>
      <c r="F5" s="103"/>
      <c r="G5" s="47">
        <v>107119430.78324479</v>
      </c>
      <c r="H5" s="14" t="s">
        <v>3</v>
      </c>
      <c r="I5" s="1"/>
    </row>
    <row r="6" spans="1:9" x14ac:dyDescent="0.25">
      <c r="A6" s="1"/>
      <c r="B6" s="101" t="s">
        <v>49</v>
      </c>
      <c r="C6" s="102"/>
      <c r="D6" s="102"/>
      <c r="E6" s="102"/>
      <c r="F6" s="103"/>
      <c r="G6" s="22">
        <f>G5*'Fane 13. Nøgletal'!C21</f>
        <v>974786.82012752758</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7" t="s">
        <v>52</v>
      </c>
      <c r="C9" s="108"/>
      <c r="D9" s="108"/>
      <c r="E9" s="108"/>
      <c r="F9" s="108"/>
      <c r="G9" s="108"/>
      <c r="H9" s="109"/>
      <c r="I9" s="1"/>
    </row>
    <row r="10" spans="1:9" x14ac:dyDescent="0.25">
      <c r="A10" s="1"/>
      <c r="B10" s="101" t="s">
        <v>53</v>
      </c>
      <c r="C10" s="102"/>
      <c r="D10" s="102"/>
      <c r="E10" s="102"/>
      <c r="F10" s="103"/>
      <c r="G10" s="22">
        <f>(G5-G6)*(1+'Fane 13. Nøgletal'!C9)</f>
        <v>107492680.94144884</v>
      </c>
      <c r="H10" s="14" t="s">
        <v>3</v>
      </c>
      <c r="I10" s="1"/>
    </row>
    <row r="11" spans="1:9" x14ac:dyDescent="0.25">
      <c r="A11" s="1"/>
      <c r="B11" s="104" t="s">
        <v>54</v>
      </c>
      <c r="C11" s="105"/>
      <c r="D11" s="105"/>
      <c r="E11" s="105"/>
      <c r="F11" s="106"/>
      <c r="G11" s="48">
        <v>0</v>
      </c>
      <c r="H11" s="14" t="s">
        <v>3</v>
      </c>
      <c r="I11" s="1"/>
    </row>
    <row r="12" spans="1:9" x14ac:dyDescent="0.25">
      <c r="A12" s="1"/>
      <c r="B12" s="101" t="s">
        <v>55</v>
      </c>
      <c r="C12" s="102"/>
      <c r="D12" s="102"/>
      <c r="E12" s="102"/>
      <c r="F12" s="103"/>
      <c r="G12" s="22">
        <f>G10*'Fane 13. Nøgletal'!C21+G11*'Fane 13. Nøgletal'!C22</f>
        <v>978183.39656718448</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7" t="s">
        <v>56</v>
      </c>
      <c r="C15" s="108"/>
      <c r="D15" s="108"/>
      <c r="E15" s="108"/>
      <c r="F15" s="108"/>
      <c r="G15" s="108"/>
      <c r="H15" s="109"/>
      <c r="I15" s="1"/>
    </row>
    <row r="16" spans="1:9" x14ac:dyDescent="0.25">
      <c r="A16" s="1"/>
      <c r="B16" s="101" t="s">
        <v>57</v>
      </c>
      <c r="C16" s="102"/>
      <c r="D16" s="102"/>
      <c r="E16" s="102"/>
      <c r="F16" s="103"/>
      <c r="G16" s="22">
        <f>(G10+G11-G12)*(1+'Fane 13. Nøgletal'!C11)</f>
        <v>108314592.55339015</v>
      </c>
      <c r="H16" s="14" t="s">
        <v>3</v>
      </c>
      <c r="I16" s="1"/>
    </row>
    <row r="17" spans="1:9" x14ac:dyDescent="0.25">
      <c r="A17" s="1"/>
      <c r="B17" s="101" t="s">
        <v>101</v>
      </c>
      <c r="C17" s="102"/>
      <c r="D17" s="102"/>
      <c r="E17" s="102"/>
      <c r="F17" s="103"/>
      <c r="G17" s="47">
        <v>223970.04631781884</v>
      </c>
      <c r="H17" s="14" t="s">
        <v>3</v>
      </c>
      <c r="I17" s="1"/>
    </row>
    <row r="18" spans="1:9" x14ac:dyDescent="0.25">
      <c r="A18" s="1"/>
      <c r="B18" s="104" t="s">
        <v>58</v>
      </c>
      <c r="C18" s="105"/>
      <c r="D18" s="105"/>
      <c r="E18" s="105"/>
      <c r="F18" s="106"/>
      <c r="G18" s="47">
        <v>2089656.4167189696</v>
      </c>
      <c r="H18" s="14" t="s">
        <v>3</v>
      </c>
      <c r="I18" s="1"/>
    </row>
    <row r="19" spans="1:9" x14ac:dyDescent="0.25">
      <c r="A19" s="1"/>
      <c r="B19" s="101" t="s">
        <v>59</v>
      </c>
      <c r="C19" s="102"/>
      <c r="D19" s="102"/>
      <c r="E19" s="102"/>
      <c r="F19" s="103"/>
      <c r="G19" s="22">
        <f>(G16+G17+G18)*'Fane 13. Nøgletal'!C23</f>
        <v>962465.50544291432</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7" t="s">
        <v>60</v>
      </c>
      <c r="C22" s="108"/>
      <c r="D22" s="108"/>
      <c r="E22" s="108"/>
      <c r="F22" s="108"/>
      <c r="G22" s="108"/>
      <c r="H22" s="109"/>
      <c r="I22" s="1"/>
    </row>
    <row r="23" spans="1:9" x14ac:dyDescent="0.25">
      <c r="A23" s="1"/>
      <c r="B23" s="101" t="s">
        <v>61</v>
      </c>
      <c r="C23" s="102"/>
      <c r="D23" s="102"/>
      <c r="E23" s="102"/>
      <c r="F23" s="103"/>
      <c r="G23" s="22">
        <f>(SUM(G16:G18)-G19)*(1+'Fane 13. Nøgletal'!C11)</f>
        <v>111519104.74531963</v>
      </c>
      <c r="H23" s="14" t="s">
        <v>3</v>
      </c>
      <c r="I23" s="1"/>
    </row>
    <row r="24" spans="1:9" x14ac:dyDescent="0.25">
      <c r="A24" s="1"/>
      <c r="B24" s="104" t="s">
        <v>62</v>
      </c>
      <c r="C24" s="105"/>
      <c r="D24" s="105"/>
      <c r="E24" s="105"/>
      <c r="F24" s="106"/>
      <c r="G24" s="47">
        <v>1780566.50944561</v>
      </c>
      <c r="H24" s="14" t="s">
        <v>3</v>
      </c>
      <c r="I24" s="1"/>
    </row>
    <row r="25" spans="1:9" x14ac:dyDescent="0.25">
      <c r="A25" s="1"/>
      <c r="B25" s="101" t="s">
        <v>63</v>
      </c>
      <c r="C25" s="102"/>
      <c r="D25" s="102"/>
      <c r="E25" s="102"/>
      <c r="F25" s="103"/>
      <c r="G25" s="22">
        <f>G23*'Fane 13. Nøgletal'!C23+G24*'Fane 13. Nøgletal'!C24</f>
        <v>1020784.3001525361</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7" t="s">
        <v>119</v>
      </c>
      <c r="C28" s="108"/>
      <c r="D28" s="108"/>
      <c r="E28" s="108"/>
      <c r="F28" s="108"/>
      <c r="G28" s="108"/>
      <c r="H28" s="109"/>
      <c r="I28" s="1"/>
    </row>
    <row r="29" spans="1:9" x14ac:dyDescent="0.25">
      <c r="A29" s="1"/>
      <c r="B29" s="101" t="s">
        <v>64</v>
      </c>
      <c r="C29" s="102"/>
      <c r="D29" s="102"/>
      <c r="E29" s="102"/>
      <c r="F29" s="103"/>
      <c r="G29" s="22">
        <f>(G23+G24-G25)*(1+'Fane 13. Nøgletal'!C13)</f>
        <v>113648689.37545897</v>
      </c>
      <c r="H29" s="14" t="s">
        <v>3</v>
      </c>
      <c r="I29" s="1"/>
    </row>
    <row r="30" spans="1:9" x14ac:dyDescent="0.25">
      <c r="A30" s="1"/>
      <c r="B30" s="101" t="s">
        <v>113</v>
      </c>
      <c r="C30" s="102"/>
      <c r="D30" s="102"/>
      <c r="E30" s="102"/>
      <c r="F30" s="103"/>
      <c r="G30" s="47">
        <v>1782704.7361116</v>
      </c>
      <c r="H30" s="14" t="s">
        <v>3</v>
      </c>
      <c r="I30" s="1"/>
    </row>
    <row r="31" spans="1:9" x14ac:dyDescent="0.25">
      <c r="A31" s="1"/>
      <c r="B31" s="101" t="s">
        <v>120</v>
      </c>
      <c r="C31" s="102"/>
      <c r="D31" s="102"/>
      <c r="E31" s="102"/>
      <c r="F31" s="103"/>
      <c r="G31" s="22">
        <f>(G29+G30)*'Fane 13. Nøgletal'!C25</f>
        <v>3174363.3380681905</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7" t="s">
        <v>124</v>
      </c>
      <c r="C34" s="108"/>
      <c r="D34" s="108"/>
      <c r="E34" s="108"/>
      <c r="F34" s="108"/>
      <c r="G34" s="108"/>
      <c r="H34" s="109"/>
      <c r="I34" s="1"/>
    </row>
    <row r="35" spans="1:9" x14ac:dyDescent="0.25">
      <c r="A35" s="1"/>
      <c r="B35" s="101" t="s">
        <v>67</v>
      </c>
      <c r="C35" s="102"/>
      <c r="D35" s="102"/>
      <c r="E35" s="102"/>
      <c r="F35" s="103"/>
      <c r="G35" s="22">
        <f>(G29+G30-G31)*(1+'Fane 13. Nøgletal'!C13)</f>
        <v>113626566.54893911</v>
      </c>
      <c r="H35" s="14" t="s">
        <v>3</v>
      </c>
      <c r="I35" s="1"/>
    </row>
    <row r="36" spans="1:9" x14ac:dyDescent="0.25">
      <c r="A36" s="1"/>
      <c r="B36" s="101" t="s">
        <v>129</v>
      </c>
      <c r="C36" s="102"/>
      <c r="D36" s="102"/>
      <c r="E36" s="102"/>
      <c r="F36" s="103"/>
      <c r="G36" s="22">
        <v>592463.99135997007</v>
      </c>
      <c r="H36" s="14" t="s">
        <v>3</v>
      </c>
      <c r="I36" s="1"/>
    </row>
    <row r="37" spans="1:9" x14ac:dyDescent="0.25">
      <c r="A37" s="1"/>
      <c r="B37" s="101" t="s">
        <v>125</v>
      </c>
      <c r="C37" s="102"/>
      <c r="D37" s="102"/>
      <c r="E37" s="102"/>
      <c r="F37" s="103"/>
      <c r="G37" s="22">
        <f>G35*'Fane 13. Nøgletal'!C25+G36*'Fane 13. Nøgletal'!C26</f>
        <v>3133499.0471679531</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7" t="s">
        <v>159</v>
      </c>
      <c r="C40" s="108"/>
      <c r="D40" s="108"/>
      <c r="E40" s="108"/>
      <c r="F40" s="108"/>
      <c r="G40" s="108"/>
      <c r="H40" s="109"/>
      <c r="I40" s="1"/>
    </row>
    <row r="41" spans="1:9" x14ac:dyDescent="0.25">
      <c r="A41" s="1"/>
      <c r="B41" s="101" t="s">
        <v>66</v>
      </c>
      <c r="C41" s="102"/>
      <c r="D41" s="102"/>
      <c r="E41" s="102"/>
      <c r="F41" s="103"/>
      <c r="G41" s="22">
        <f>(G35+G36-G37)*(1+'Fane 13. Nøgletal'!C15)</f>
        <v>115040176.4142866</v>
      </c>
      <c r="H41" s="14" t="s">
        <v>3</v>
      </c>
      <c r="I41" s="1"/>
    </row>
    <row r="42" spans="1:9" x14ac:dyDescent="0.25">
      <c r="A42" s="1"/>
      <c r="B42" s="101" t="s">
        <v>169</v>
      </c>
      <c r="C42" s="102"/>
      <c r="D42" s="102"/>
      <c r="E42" s="102"/>
      <c r="F42" s="103"/>
      <c r="G42" s="9">
        <v>466981.24516272004</v>
      </c>
      <c r="H42" s="14" t="s">
        <v>3</v>
      </c>
      <c r="I42" s="1"/>
    </row>
    <row r="43" spans="1:9" x14ac:dyDescent="0.25">
      <c r="A43" s="1"/>
      <c r="B43" s="101" t="s">
        <v>65</v>
      </c>
      <c r="C43" s="102"/>
      <c r="D43" s="102"/>
      <c r="E43" s="102"/>
      <c r="F43" s="103"/>
      <c r="G43" s="48">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7" t="s">
        <v>160</v>
      </c>
      <c r="C46" s="108"/>
      <c r="D46" s="108"/>
      <c r="E46" s="108"/>
      <c r="F46" s="108"/>
      <c r="G46" s="108"/>
      <c r="H46" s="109"/>
      <c r="I46" s="1"/>
    </row>
    <row r="47" spans="1:9" x14ac:dyDescent="0.25">
      <c r="A47" s="1"/>
      <c r="B47" s="101" t="s">
        <v>114</v>
      </c>
      <c r="C47" s="102"/>
      <c r="D47" s="102"/>
      <c r="E47" s="102"/>
      <c r="F47" s="103"/>
      <c r="G47" s="22">
        <f>(G41+G42-G43)*(1+'Fane 13. Nøgletal'!C15)</f>
        <v>119619212.47212572</v>
      </c>
      <c r="H47" s="14" t="s">
        <v>3</v>
      </c>
      <c r="I47" s="1"/>
    </row>
    <row r="48" spans="1:9" x14ac:dyDescent="0.25">
      <c r="A48" s="1"/>
      <c r="B48" s="101" t="s">
        <v>210</v>
      </c>
      <c r="C48" s="102"/>
      <c r="D48" s="102"/>
      <c r="E48" s="102"/>
      <c r="F48" s="103"/>
      <c r="G48" s="22">
        <f>('Fane 2.1. Økonomisk ramme 2024'!C10+'Fane 2.1. Økonomisk ramme 2024'!C12+'Fane 2.1. Økonomisk ramme 2024'!C14)*(1+'Fane 13. Nøgletal'!C16)</f>
        <v>5116931.4373452794</v>
      </c>
      <c r="H48" s="14" t="s">
        <v>3</v>
      </c>
      <c r="I48" s="1"/>
    </row>
    <row r="49" spans="1:9" x14ac:dyDescent="0.25">
      <c r="A49" s="1"/>
      <c r="B49" s="101" t="s">
        <v>211</v>
      </c>
      <c r="C49" s="102"/>
      <c r="D49" s="102"/>
      <c r="E49" s="102"/>
      <c r="F49" s="103"/>
      <c r="G49" s="48">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7" t="s">
        <v>130</v>
      </c>
      <c r="C52" s="108"/>
      <c r="D52" s="108"/>
      <c r="E52" s="108"/>
      <c r="F52" s="108"/>
      <c r="G52" s="108"/>
      <c r="H52" s="109"/>
      <c r="I52" s="1"/>
    </row>
    <row r="53" spans="1:9" x14ac:dyDescent="0.25">
      <c r="A53" s="1"/>
      <c r="B53" s="101" t="s">
        <v>131</v>
      </c>
      <c r="C53" s="102"/>
      <c r="D53" s="102"/>
      <c r="E53" s="102"/>
      <c r="F53" s="103"/>
      <c r="G53" s="22">
        <f>(G47+G48-G49)*(1+'Fane 13. Nøgletal'!C16)</f>
        <v>134814824.33735627</v>
      </c>
      <c r="H53" s="14" t="s">
        <v>3</v>
      </c>
      <c r="I53" s="1"/>
    </row>
    <row r="54" spans="1:9" x14ac:dyDescent="0.25">
      <c r="A54" s="1"/>
      <c r="B54" s="101" t="s">
        <v>132</v>
      </c>
      <c r="C54" s="102"/>
      <c r="D54" s="102"/>
      <c r="E54" s="102"/>
      <c r="F54" s="103"/>
      <c r="G54" s="48">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7" t="s">
        <v>147</v>
      </c>
      <c r="C57" s="108"/>
      <c r="D57" s="108"/>
      <c r="E57" s="108"/>
      <c r="F57" s="108"/>
      <c r="G57" s="108"/>
      <c r="H57" s="109"/>
      <c r="I57" s="1"/>
    </row>
    <row r="58" spans="1:9" x14ac:dyDescent="0.25">
      <c r="A58" s="1"/>
      <c r="B58" s="101" t="s">
        <v>148</v>
      </c>
      <c r="C58" s="102"/>
      <c r="D58" s="102"/>
      <c r="E58" s="102"/>
      <c r="F58" s="103"/>
      <c r="G58" s="22">
        <f>(G53-G54)*(1+'Fane 13. Nøgletal'!C16)</f>
        <v>145707862.14381465</v>
      </c>
      <c r="H58" s="14" t="s">
        <v>3</v>
      </c>
      <c r="I58" s="1"/>
    </row>
    <row r="59" spans="1:9" x14ac:dyDescent="0.25">
      <c r="A59" s="1"/>
      <c r="B59" s="101" t="s">
        <v>149</v>
      </c>
      <c r="C59" s="102"/>
      <c r="D59" s="102"/>
      <c r="E59" s="102"/>
      <c r="F59" s="103"/>
      <c r="G59" s="48">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7" t="s">
        <v>223</v>
      </c>
      <c r="C62" s="108"/>
      <c r="D62" s="108"/>
      <c r="E62" s="108"/>
      <c r="F62" s="108"/>
      <c r="G62" s="108"/>
      <c r="H62" s="109"/>
      <c r="I62" s="1"/>
    </row>
    <row r="63" spans="1:9" x14ac:dyDescent="0.25">
      <c r="A63" s="1"/>
      <c r="B63" s="101" t="s">
        <v>224</v>
      </c>
      <c r="C63" s="102"/>
      <c r="D63" s="102"/>
      <c r="E63" s="102"/>
      <c r="F63" s="103"/>
      <c r="G63" s="22">
        <f>(G58-G59)*(1+'Fane 13. Nøgletal'!C16)</f>
        <v>157481057.40503487</v>
      </c>
      <c r="H63" s="14" t="s">
        <v>3</v>
      </c>
      <c r="I63" s="1"/>
    </row>
    <row r="64" spans="1:9" x14ac:dyDescent="0.25">
      <c r="A64" s="1"/>
      <c r="B64" s="101" t="s">
        <v>225</v>
      </c>
      <c r="C64" s="102"/>
      <c r="D64" s="102"/>
      <c r="E64" s="102"/>
      <c r="F64" s="103"/>
      <c r="G64" s="48">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LuOKPd03wrlGt+vXWMuXmABUNDl+o5GasDUkT5m39RzjtNWz5PQKRxw4G221ExYBv9g1Ea6MeT1/UqeR9aePA==" saltValue="sGiLGkwgtITrOVXQXDFe+w=="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7" t="s">
        <v>9</v>
      </c>
      <c r="C8" s="108"/>
      <c r="D8" s="108"/>
      <c r="E8" s="108"/>
      <c r="F8" s="108"/>
      <c r="G8" s="109"/>
      <c r="H8" s="1"/>
    </row>
    <row r="9" spans="1:8" x14ac:dyDescent="0.25">
      <c r="A9" s="1"/>
      <c r="B9" s="68" t="s">
        <v>150</v>
      </c>
      <c r="C9" s="69"/>
      <c r="D9" s="69"/>
      <c r="E9" s="69"/>
      <c r="F9" s="70"/>
      <c r="G9" s="51">
        <v>0.02</v>
      </c>
      <c r="H9" s="1"/>
    </row>
    <row r="10" spans="1:8" x14ac:dyDescent="0.25">
      <c r="A10" s="1"/>
      <c r="B10" s="52"/>
      <c r="C10" s="53"/>
      <c r="D10" s="53"/>
      <c r="E10" s="53"/>
      <c r="F10" s="53"/>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cc6QdhO5jnqC4L1OB3Ah6e+oGPaM0pn6gI2i7/BZxW9FoCtJuuLHWSrdA50RE1hPAuMXvUMY/t4AEWMZnwL52g==" saltValue="4VZNCw3YekeoIzjc45/Ogg=="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7" t="s">
        <v>226</v>
      </c>
      <c r="C8" s="108"/>
      <c r="D8" s="109"/>
      <c r="E8" s="1"/>
      <c r="F8" s="1"/>
    </row>
    <row r="9" spans="1:6" ht="15" customHeight="1" x14ac:dyDescent="0.25">
      <c r="A9" s="1"/>
      <c r="B9" s="32" t="s">
        <v>28</v>
      </c>
      <c r="C9" s="11" t="s">
        <v>212</v>
      </c>
      <c r="D9" s="11"/>
      <c r="E9" s="1"/>
      <c r="F9" s="1"/>
    </row>
    <row r="10" spans="1:6" ht="15" customHeight="1" x14ac:dyDescent="0.25">
      <c r="A10" s="1"/>
      <c r="B10" s="71" t="s">
        <v>243</v>
      </c>
      <c r="C10" s="9">
        <v>67951987</v>
      </c>
      <c r="D10" s="14" t="s">
        <v>3</v>
      </c>
      <c r="E10" s="1"/>
      <c r="F10" s="1"/>
    </row>
    <row r="11" spans="1:6" x14ac:dyDescent="0.25">
      <c r="A11" s="1"/>
      <c r="B11" s="71" t="s">
        <v>244</v>
      </c>
      <c r="C11" s="9">
        <v>339146</v>
      </c>
      <c r="D11" s="14" t="s">
        <v>3</v>
      </c>
      <c r="E11" s="1"/>
      <c r="F11" s="1"/>
    </row>
    <row r="12" spans="1:6" x14ac:dyDescent="0.25">
      <c r="A12" s="1"/>
      <c r="B12" s="71" t="s">
        <v>245</v>
      </c>
      <c r="C12" s="9">
        <v>219387</v>
      </c>
      <c r="D12" s="14" t="s">
        <v>3</v>
      </c>
      <c r="E12" s="1"/>
      <c r="F12" s="1"/>
    </row>
    <row r="13" spans="1:6" x14ac:dyDescent="0.25">
      <c r="A13" s="1"/>
      <c r="B13" s="71" t="s">
        <v>246</v>
      </c>
      <c r="C13" s="9">
        <v>503183</v>
      </c>
      <c r="D13" s="14" t="s">
        <v>3</v>
      </c>
      <c r="E13" s="1"/>
      <c r="F13" s="1"/>
    </row>
    <row r="14" spans="1:6" ht="26.25" x14ac:dyDescent="0.25">
      <c r="A14" s="1"/>
      <c r="B14" s="55" t="s">
        <v>247</v>
      </c>
      <c r="C14" s="9">
        <v>325000</v>
      </c>
      <c r="D14" s="14" t="s">
        <v>3</v>
      </c>
      <c r="E14" s="1"/>
      <c r="F14" s="1"/>
    </row>
    <row r="15" spans="1:6" x14ac:dyDescent="0.25">
      <c r="A15" s="1"/>
      <c r="B15" s="71"/>
      <c r="C15" s="9"/>
      <c r="D15" s="14" t="s">
        <v>3</v>
      </c>
      <c r="E15" s="1"/>
      <c r="F15" s="1"/>
    </row>
    <row r="16" spans="1:6" x14ac:dyDescent="0.25">
      <c r="A16" s="1"/>
      <c r="B16" s="71"/>
      <c r="C16" s="9"/>
      <c r="D16" s="14" t="s">
        <v>3</v>
      </c>
      <c r="E16" s="1"/>
      <c r="F16" s="1"/>
    </row>
    <row r="17" spans="1:6" x14ac:dyDescent="0.25">
      <c r="A17" s="1"/>
      <c r="B17" s="71"/>
      <c r="C17" s="9"/>
      <c r="D17" s="14" t="s">
        <v>3</v>
      </c>
      <c r="E17" s="1"/>
      <c r="F17" s="1"/>
    </row>
    <row r="18" spans="1:6" x14ac:dyDescent="0.25">
      <c r="A18" s="1"/>
      <c r="B18" s="71"/>
      <c r="C18" s="9"/>
      <c r="D18" s="14" t="s">
        <v>3</v>
      </c>
      <c r="E18" s="1"/>
      <c r="F18" s="1"/>
    </row>
    <row r="19" spans="1:6" x14ac:dyDescent="0.25">
      <c r="A19" s="1"/>
      <c r="B19" s="52" t="s">
        <v>213</v>
      </c>
      <c r="C19" s="12">
        <f>SUM(C10:C18)</f>
        <v>69338703</v>
      </c>
      <c r="D19" s="13" t="s">
        <v>3</v>
      </c>
      <c r="E19" s="1"/>
      <c r="F19" s="1"/>
    </row>
    <row r="20" spans="1:6" x14ac:dyDescent="0.25">
      <c r="A20" s="1"/>
      <c r="B20" s="52" t="s">
        <v>214</v>
      </c>
      <c r="C20" s="12">
        <f>C19*(1+'Fane 13. Nøgletal'!C16)^2</f>
        <v>80996524.834753916</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gzHtY/Ua5SNCHDIluHgu9UEJv9OypEvmSclUGeEFCK2p+fhnNk8+tTIR/yAk7irVr8pCq7XtAIJPptNAeqMLoA==" saltValue="lT+w4HUZX/lMDwvaR9zj2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5060-C02D-47BF-86FF-E5946955B7B0}">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9"/>
      <c r="D6" s="60"/>
      <c r="E6" s="64"/>
      <c r="F6" s="64"/>
      <c r="G6" s="1"/>
    </row>
    <row r="7" spans="1:7" x14ac:dyDescent="0.25">
      <c r="A7" s="1"/>
      <c r="B7" s="1"/>
      <c r="C7" s="1"/>
      <c r="D7" s="1"/>
      <c r="E7" s="61"/>
      <c r="F7" s="1"/>
      <c r="G7" s="1"/>
    </row>
    <row r="8" spans="1:7" x14ac:dyDescent="0.25">
      <c r="A8" s="1"/>
      <c r="B8" s="107" t="s">
        <v>248</v>
      </c>
      <c r="C8" s="108"/>
      <c r="D8" s="108"/>
      <c r="E8" s="108"/>
      <c r="F8" s="109"/>
      <c r="G8" s="1"/>
    </row>
    <row r="9" spans="1:7" x14ac:dyDescent="0.25">
      <c r="A9" s="1"/>
      <c r="B9" s="101" t="s">
        <v>249</v>
      </c>
      <c r="C9" s="102"/>
      <c r="D9" s="103"/>
      <c r="E9" s="28">
        <v>-16140431</v>
      </c>
      <c r="F9" s="14" t="s">
        <v>3</v>
      </c>
      <c r="G9" s="1"/>
    </row>
    <row r="10" spans="1:7" x14ac:dyDescent="0.25">
      <c r="A10" s="1"/>
      <c r="B10" s="52"/>
      <c r="C10" s="53"/>
      <c r="D10" s="53"/>
      <c r="E10" s="53"/>
      <c r="F10" s="19"/>
      <c r="G10" s="1"/>
    </row>
    <row r="11" spans="1:7" ht="53.25" customHeight="1" x14ac:dyDescent="0.25">
      <c r="A11" s="1"/>
      <c r="B11" s="119" t="s">
        <v>250</v>
      </c>
      <c r="C11" s="120"/>
      <c r="D11" s="120"/>
      <c r="E11" s="120"/>
      <c r="F11" s="121"/>
      <c r="G11" s="1"/>
    </row>
    <row r="12" spans="1:7" x14ac:dyDescent="0.25">
      <c r="A12" s="1"/>
      <c r="B12" s="1"/>
      <c r="C12" s="1"/>
      <c r="D12" s="1"/>
      <c r="E12" s="1"/>
      <c r="F12" s="1"/>
      <c r="G12" s="1"/>
    </row>
    <row r="13" spans="1:7" x14ac:dyDescent="0.25">
      <c r="A13" s="1"/>
      <c r="B13" s="107" t="s">
        <v>140</v>
      </c>
      <c r="C13" s="108"/>
      <c r="D13" s="108"/>
      <c r="E13" s="108"/>
      <c r="F13" s="109"/>
      <c r="G13" s="1"/>
    </row>
    <row r="14" spans="1:7" x14ac:dyDescent="0.25">
      <c r="A14" s="1"/>
      <c r="B14" s="101" t="s">
        <v>251</v>
      </c>
      <c r="C14" s="102"/>
      <c r="D14" s="103"/>
      <c r="E14" s="9">
        <v>-3371234</v>
      </c>
      <c r="F14" s="14" t="s">
        <v>3</v>
      </c>
      <c r="G14" s="1"/>
    </row>
    <row r="15" spans="1:7" x14ac:dyDescent="0.25">
      <c r="A15" s="1"/>
      <c r="B15" s="101" t="s">
        <v>252</v>
      </c>
      <c r="C15" s="102"/>
      <c r="D15" s="103"/>
      <c r="E15" s="9">
        <v>-3371234</v>
      </c>
      <c r="F15" s="14" t="s">
        <v>3</v>
      </c>
      <c r="G15" s="1"/>
    </row>
    <row r="16" spans="1:7" x14ac:dyDescent="0.25">
      <c r="A16" s="1"/>
      <c r="B16" s="52"/>
      <c r="C16" s="53"/>
      <c r="D16" s="53"/>
      <c r="E16" s="53"/>
      <c r="F16" s="19"/>
      <c r="G16" s="1"/>
    </row>
    <row r="17" spans="1:7" ht="32.25" customHeight="1" x14ac:dyDescent="0.25">
      <c r="A17" s="1"/>
      <c r="B17" s="119" t="s">
        <v>253</v>
      </c>
      <c r="C17" s="120"/>
      <c r="D17" s="120"/>
      <c r="E17" s="120"/>
      <c r="F17" s="121"/>
      <c r="G17" s="1"/>
    </row>
    <row r="18" spans="1:7" x14ac:dyDescent="0.25">
      <c r="A18" s="1"/>
      <c r="B18" s="1"/>
      <c r="C18" s="1"/>
      <c r="D18" s="1"/>
      <c r="E18" s="1"/>
      <c r="F18" s="1"/>
      <c r="G18" s="1"/>
    </row>
    <row r="19" spans="1:7" x14ac:dyDescent="0.25">
      <c r="A19" s="1"/>
      <c r="B19" s="65" t="s">
        <v>254</v>
      </c>
      <c r="C19" s="66"/>
      <c r="D19" s="66"/>
      <c r="E19" s="66"/>
      <c r="F19" s="67"/>
      <c r="G19" s="1"/>
    </row>
    <row r="20" spans="1:7" x14ac:dyDescent="0.25">
      <c r="A20" s="1"/>
      <c r="B20" s="68" t="s">
        <v>255</v>
      </c>
      <c r="C20" s="69"/>
      <c r="D20" s="70"/>
      <c r="E20" s="9">
        <v>227242428</v>
      </c>
      <c r="F20" s="14" t="s">
        <v>3</v>
      </c>
      <c r="G20" s="1"/>
    </row>
    <row r="21" spans="1:7" x14ac:dyDescent="0.25">
      <c r="A21" s="1"/>
      <c r="B21" s="68" t="s">
        <v>256</v>
      </c>
      <c r="C21" s="69"/>
      <c r="D21" s="70"/>
      <c r="E21" s="9">
        <v>217580896</v>
      </c>
      <c r="F21" s="14" t="s">
        <v>3</v>
      </c>
      <c r="G21" s="1"/>
    </row>
    <row r="22" spans="1:7" x14ac:dyDescent="0.25">
      <c r="A22" s="1"/>
      <c r="B22" s="68" t="s">
        <v>29</v>
      </c>
      <c r="C22" s="69"/>
      <c r="D22" s="70"/>
      <c r="E22" s="9">
        <v>0</v>
      </c>
      <c r="F22" s="14" t="s">
        <v>3</v>
      </c>
      <c r="G22" s="1"/>
    </row>
    <row r="23" spans="1:7" x14ac:dyDescent="0.25">
      <c r="A23" s="1"/>
      <c r="B23" s="73" t="s">
        <v>257</v>
      </c>
      <c r="C23" s="74"/>
      <c r="D23" s="75"/>
      <c r="E23" s="10">
        <f>E20-(E21-E22)</f>
        <v>9661532</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7" t="s">
        <v>258</v>
      </c>
      <c r="C26" s="108"/>
      <c r="D26" s="108"/>
      <c r="E26" s="108"/>
      <c r="F26" s="109"/>
      <c r="G26" s="1"/>
    </row>
    <row r="27" spans="1:7" x14ac:dyDescent="0.25">
      <c r="A27" s="1"/>
      <c r="B27" s="129" t="s">
        <v>259</v>
      </c>
      <c r="C27" s="130"/>
      <c r="D27" s="131"/>
      <c r="E27" s="62">
        <f>IF(AND(E15&lt;0,E23&gt;0,ABS(SUM(E14:E15))&lt;E23),ABS(E14),IF(AND(E15&lt;0,E23&gt;0,ABS(SUM(E14:E15))&gt;E23),SUM(E14,E23),0))</f>
        <v>3371234</v>
      </c>
      <c r="F27" s="17" t="s">
        <v>3</v>
      </c>
      <c r="G27" s="1"/>
    </row>
    <row r="28" spans="1:7" x14ac:dyDescent="0.25">
      <c r="A28" s="1"/>
      <c r="B28" s="107"/>
      <c r="C28" s="108"/>
      <c r="D28" s="108"/>
      <c r="E28" s="108"/>
      <c r="F28" s="109"/>
      <c r="G28" s="1"/>
    </row>
    <row r="29" spans="1:7" x14ac:dyDescent="0.25">
      <c r="A29" s="1"/>
      <c r="B29" s="1"/>
      <c r="C29" s="1"/>
      <c r="D29" s="1"/>
      <c r="E29" s="1"/>
      <c r="F29" s="1"/>
      <c r="G29" s="1"/>
    </row>
    <row r="30" spans="1:7" x14ac:dyDescent="0.25">
      <c r="A30" s="1"/>
      <c r="B30" s="107" t="s">
        <v>260</v>
      </c>
      <c r="C30" s="108"/>
      <c r="D30" s="108"/>
      <c r="E30" s="108"/>
      <c r="F30" s="109"/>
      <c r="G30" s="1"/>
    </row>
    <row r="31" spans="1:7" x14ac:dyDescent="0.25">
      <c r="A31" s="1"/>
      <c r="B31" s="122" t="s">
        <v>117</v>
      </c>
      <c r="C31" s="123"/>
      <c r="D31" s="124"/>
      <c r="E31" s="63">
        <f>IF(AND(E9&gt;0,(E9+E23)&gt;0),0,IF(AND(E9&gt;0,(E9+E23)&lt;0),(E9+E23),IF(AND(E9&lt;0,E23&lt;0),E23,0)))</f>
        <v>0</v>
      </c>
      <c r="F31" s="14" t="s">
        <v>3</v>
      </c>
      <c r="G31" s="1"/>
    </row>
    <row r="32" spans="1:7" x14ac:dyDescent="0.25">
      <c r="A32" s="1"/>
      <c r="B32" s="122" t="s">
        <v>85</v>
      </c>
      <c r="C32" s="123"/>
      <c r="D32" s="124"/>
      <c r="E32" s="9">
        <v>2</v>
      </c>
      <c r="F32" s="14" t="s">
        <v>18</v>
      </c>
      <c r="G32" s="1"/>
    </row>
    <row r="33" spans="1:7" x14ac:dyDescent="0.25">
      <c r="A33" s="1"/>
      <c r="B33" s="125" t="s">
        <v>116</v>
      </c>
      <c r="C33" s="125"/>
      <c r="D33" s="125"/>
      <c r="E33" s="62">
        <f>E31/E32</f>
        <v>0</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no/DRDoIEJrjoDsk1VkSs4ID9qfASjcxNSUT27984917e5L396P1gWLn7kgu8v5f+kec+FYGcyYXzgtysJlfYQ==" saltValue="Wx/fe/5l7fsiGeW1peVnww=="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7" t="s">
        <v>184</v>
      </c>
      <c r="C8" s="108"/>
      <c r="D8" s="108"/>
      <c r="E8" s="108"/>
      <c r="F8" s="108"/>
      <c r="G8" s="108"/>
      <c r="H8" s="109"/>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7" t="s">
        <v>193</v>
      </c>
      <c r="C18" s="108"/>
      <c r="D18" s="108"/>
      <c r="E18" s="108"/>
      <c r="F18" s="109"/>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g0SS8xLz2284QVKinECzEbbGpLJb+24iiDGAz12UouY86OMv31dXu+EJsmS/gGmP8FdCuU0Kl5FXf0GIHh4XLQ==" saltValue="nNO+uxfIAnBHmqV6Vcurs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7" t="s">
        <v>155</v>
      </c>
      <c r="C8" s="108"/>
      <c r="D8" s="108"/>
      <c r="E8" s="108"/>
      <c r="F8" s="108"/>
      <c r="G8" s="108"/>
      <c r="H8" s="108"/>
      <c r="I8" s="108"/>
      <c r="J8" s="108"/>
      <c r="K8" s="109"/>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67"/>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w+yhtRAIGuRaRY9ms0YomQcGAHBClVNQSLlfgCtumesiwUsr8jiTQQUWzLG4SH4ZSeTk6fj6xPsADU1QlwXAnA==" saltValue="JROM3+ttsiQNwdIoJr2O2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261</v>
      </c>
      <c r="C11" s="21">
        <v>0</v>
      </c>
      <c r="D11" s="14" t="s">
        <v>3</v>
      </c>
      <c r="E11" s="9">
        <v>3335077</v>
      </c>
      <c r="F11" s="14" t="s">
        <v>3</v>
      </c>
      <c r="G11" s="1"/>
    </row>
    <row r="12" spans="1:7" x14ac:dyDescent="0.25">
      <c r="A12" s="1"/>
      <c r="B12" s="27" t="s">
        <v>262</v>
      </c>
      <c r="C12" s="21">
        <v>838911</v>
      </c>
      <c r="D12" s="14" t="s">
        <v>3</v>
      </c>
      <c r="E12" s="9">
        <v>869748</v>
      </c>
      <c r="F12" s="14" t="s">
        <v>3</v>
      </c>
      <c r="G12" s="1"/>
    </row>
    <row r="13" spans="1:7" x14ac:dyDescent="0.25">
      <c r="A13" s="1"/>
      <c r="B13" s="27" t="s">
        <v>263</v>
      </c>
      <c r="C13" s="21">
        <v>0</v>
      </c>
      <c r="D13" s="14" t="s">
        <v>3</v>
      </c>
      <c r="E13" s="9">
        <v>175627</v>
      </c>
      <c r="F13" s="14" t="s">
        <v>3</v>
      </c>
      <c r="G13" s="1"/>
    </row>
    <row r="14" spans="1:7" x14ac:dyDescent="0.25">
      <c r="A14" s="1"/>
      <c r="B14" s="27" t="s">
        <v>265</v>
      </c>
      <c r="C14" s="21">
        <v>204201</v>
      </c>
      <c r="D14" s="14" t="s">
        <v>3</v>
      </c>
      <c r="E14" s="9">
        <v>0</v>
      </c>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1043112</v>
      </c>
      <c r="D17" s="13" t="s">
        <v>3</v>
      </c>
      <c r="E17" s="12">
        <f>SUM(E10:E16)</f>
        <v>4380452</v>
      </c>
      <c r="F17" s="13" t="s">
        <v>3</v>
      </c>
      <c r="G17" s="1"/>
    </row>
    <row r="18" spans="1:7" x14ac:dyDescent="0.25">
      <c r="A18" s="1"/>
      <c r="B18" s="52" t="s">
        <v>209</v>
      </c>
      <c r="C18" s="12">
        <f>C17*(1+'Fane 13. Nøgletal'!C16)</f>
        <v>1127395.4495999999</v>
      </c>
      <c r="D18" s="13" t="s">
        <v>3</v>
      </c>
      <c r="E18" s="12">
        <f>E17*(1+'Fane 13. Nøgletal'!C16)</f>
        <v>4734392.5215999996</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38riVPBQI1ll90IhQAQUCNbDJqGOAlFSloq98AONyxC4747Na3aBUGKmfQKBMCjBqzCQde+VvbJQJns22lGN6w==" saltValue="eHFVQDy7IAZaGwSOaCAMC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8"/>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7" t="s">
        <v>217</v>
      </c>
      <c r="C9" s="108"/>
      <c r="D9" s="108"/>
      <c r="E9" s="108"/>
      <c r="F9" s="109"/>
      <c r="G9" s="1"/>
    </row>
    <row r="10" spans="1:7" ht="26.25" x14ac:dyDescent="0.25">
      <c r="A10" s="1"/>
      <c r="B10" s="76" t="s">
        <v>15</v>
      </c>
      <c r="C10" s="76" t="s">
        <v>10</v>
      </c>
      <c r="D10" s="77"/>
      <c r="E10" s="76" t="s">
        <v>27</v>
      </c>
      <c r="F10" s="30"/>
      <c r="G10" s="1"/>
    </row>
    <row r="11" spans="1:7" x14ac:dyDescent="0.25">
      <c r="A11" s="1"/>
      <c r="B11" s="23" t="s">
        <v>264</v>
      </c>
      <c r="C11" s="21">
        <v>230053</v>
      </c>
      <c r="D11" s="14" t="s">
        <v>3</v>
      </c>
      <c r="E11" s="9">
        <v>0</v>
      </c>
      <c r="F11" s="14" t="s">
        <v>3</v>
      </c>
      <c r="G11" s="1"/>
    </row>
    <row r="12" spans="1:7" x14ac:dyDescent="0.25">
      <c r="A12" s="1"/>
      <c r="B12" s="23" t="s">
        <v>265</v>
      </c>
      <c r="C12" s="21">
        <v>224200</v>
      </c>
      <c r="D12" s="14" t="s">
        <v>3</v>
      </c>
      <c r="E12" s="9">
        <v>0</v>
      </c>
      <c r="F12" s="14" t="s">
        <v>3</v>
      </c>
      <c r="G12" s="1"/>
    </row>
    <row r="13" spans="1:7" x14ac:dyDescent="0.25">
      <c r="A13" s="1"/>
      <c r="B13" s="52" t="s">
        <v>218</v>
      </c>
      <c r="C13" s="12">
        <f>SUM(C11:C12)</f>
        <v>454253</v>
      </c>
      <c r="D13" s="13" t="s">
        <v>3</v>
      </c>
      <c r="E13" s="12">
        <f>SUM(E11:E12)</f>
        <v>0</v>
      </c>
      <c r="F13" s="13" t="s">
        <v>3</v>
      </c>
      <c r="G13" s="1"/>
    </row>
    <row r="14" spans="1:7" x14ac:dyDescent="0.25">
      <c r="A14" s="1"/>
      <c r="B14" s="52" t="s">
        <v>219</v>
      </c>
      <c r="C14" s="12">
        <f>C13*(1+'Fane 13. Nøgletal'!$C$16)^2</f>
        <v>530625.93910592003</v>
      </c>
      <c r="D14" s="13" t="s">
        <v>3</v>
      </c>
      <c r="E14" s="12">
        <f>E13*(1+'Fane 13. Nøgletal'!$C$16)^2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ht="18" customHeight="1"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5RUmRCP2qrpXT+g/pTTRzO8RP4Wue9Yg2P1v0E8jkIA2nAdPWImzH2Ix6hIwxoqp0bhblGQh6nTZynSWcbVQsQ==" saltValue="NPb+jDJLm54yzY2vITyjk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7" t="s">
        <v>104</v>
      </c>
      <c r="C8" s="108"/>
      <c r="D8" s="108"/>
      <c r="E8" s="108"/>
      <c r="F8" s="109"/>
      <c r="G8" s="1"/>
    </row>
    <row r="9" spans="1:7" ht="15" customHeight="1" x14ac:dyDescent="0.25">
      <c r="A9" s="1"/>
      <c r="B9" s="54" t="s">
        <v>105</v>
      </c>
      <c r="C9" s="132" t="s">
        <v>10</v>
      </c>
      <c r="D9" s="134"/>
      <c r="E9" s="132" t="s">
        <v>27</v>
      </c>
      <c r="F9" s="134"/>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cIfn8NSF6DzPOcEofC0UiLn/VONVAq13lqI6B8WCAdW3Dvu13mgGZKgZLHQnh727qmrFnfZbQ0T0pjGRVCArQA==" saltValue="H9SR+Kvu43iF8ALJuM5pn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7" t="s">
        <v>237</v>
      </c>
      <c r="C10" s="108"/>
      <c r="D10" s="108"/>
      <c r="E10" s="108"/>
      <c r="F10" s="109"/>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V60sI+4hPb9pPFTk43KtMyvtJzQE/wd2drsgwc2GeCz7/o276hy0O42S4jHNmOOrq3JMniRE1++ylhXH0ZTqQ==" saltValue="Tdr/dun+oXJ/TDI89YC7Lw=="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71" t="s">
        <v>93</v>
      </c>
      <c r="C9" s="40">
        <v>1.2699999999999999E-2</v>
      </c>
      <c r="D9" s="1"/>
    </row>
    <row r="10" spans="1:4" x14ac:dyDescent="0.25">
      <c r="A10" s="1"/>
      <c r="B10" s="71" t="s">
        <v>21</v>
      </c>
      <c r="C10" s="40">
        <v>1.7500000000000002E-2</v>
      </c>
      <c r="D10" s="1"/>
    </row>
    <row r="11" spans="1:4" x14ac:dyDescent="0.25">
      <c r="A11" s="1"/>
      <c r="B11" s="71"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7"/>
      <c r="C17" s="109"/>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71" t="s">
        <v>95</v>
      </c>
      <c r="C21" s="42">
        <v>9.1000000000000004E-3</v>
      </c>
      <c r="D21" s="1"/>
    </row>
    <row r="22" spans="1:4" x14ac:dyDescent="0.25">
      <c r="A22" s="1"/>
      <c r="B22" s="71" t="s">
        <v>96</v>
      </c>
      <c r="C22" s="42">
        <v>1.77E-2</v>
      </c>
      <c r="D22" s="1"/>
    </row>
    <row r="23" spans="1:4" x14ac:dyDescent="0.25">
      <c r="A23" s="1"/>
      <c r="B23" s="71" t="s">
        <v>97</v>
      </c>
      <c r="C23" s="42">
        <v>8.6999999999999994E-3</v>
      </c>
      <c r="D23" s="1"/>
    </row>
    <row r="24" spans="1:4" x14ac:dyDescent="0.25">
      <c r="A24" s="1"/>
      <c r="B24" s="71" t="s">
        <v>98</v>
      </c>
      <c r="C24" s="42">
        <v>2.8400000000000002E-2</v>
      </c>
      <c r="D24" s="1"/>
    </row>
    <row r="25" spans="1:4" x14ac:dyDescent="0.25">
      <c r="A25" s="1"/>
      <c r="B25" s="71" t="s">
        <v>111</v>
      </c>
      <c r="C25" s="42">
        <v>2.75E-2</v>
      </c>
      <c r="D25" s="1"/>
    </row>
    <row r="26" spans="1:4" x14ac:dyDescent="0.25">
      <c r="A26" s="1"/>
      <c r="B26" s="71"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71"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GsLTjAmIgiiBrdaXKUwtdzCFj3W6ZjLdByxVIJZluLwxYJa26aYw1LWJ4yup7UhjBHZmWn9RPXfoj8E1I6cP9g==" saltValue="ItPpP4DInTQJuyDtgBDpXg=="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2023-11-30T09:28:45Z</dcterms:modified>
</cp:coreProperties>
</file>