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Ringsted Spildevand AS (S079)\ØR2024\"/>
    </mc:Choice>
  </mc:AlternateContent>
  <xr:revisionPtr revIDLastSave="0" documentId="13_ncr:1_{8800904F-1CA6-46B1-B383-A05290EF554F}"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6" i="44" l="1"/>
  <c r="E30" i="44" s="1"/>
  <c r="E16" i="44" l="1"/>
  <c r="E17" i="44"/>
  <c r="E18" i="44" l="1"/>
  <c r="C9" i="2"/>
  <c r="E32" i="44" l="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<sst xmlns="http://schemas.openxmlformats.org/spreadsheetml/2006/main" count="659" uniqueCount="293">
  <si>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</si>
  <si>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</si>
  <si>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</si>
  <si>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</si>
  <si>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</si>
  <si>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</si>
  <si>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</si>
  <si>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</si>
  <si>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</si>
  <si>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</si>
  <si>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</si>
  <si>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</si>
  <si>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</si>
  <si>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</si>
  <si>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</si>
  <si>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</si>
  <si>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</si>
  <si>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</si>
  <si>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</si>
  <si>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</si>
  <si>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</si>
  <si>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</si>
  <si>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</si>
  <si>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</si>
  <si>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</si>
  <si>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</si>
  <si>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</si>
  <si>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</si>
  <si>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</si>
  <si>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</si>
  <si>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</si>
  <si>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</si>
  <si>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</si>
  <si>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</si>
  <si>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</si>
  <si>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</si>
  <si>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</si>
  <si>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</si>
  <si>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</si>
  <si>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</si>
  <si>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</si>
  <si>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</si>
  <si>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</si>
  <si>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</si>
  <si>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</si>
  <si>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</si>
  <si>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</si>
  <si>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</si>
  <si>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</si>
  <si>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</si>
  <si>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</si>
  <si>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</si>
  <si>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</si>
  <si>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</si>
  <si>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</si>
  <si>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</si>
  <si>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</si>
  <si>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</si>
  <si>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</si>
  <si>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</si>
  <si>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</si>
  <si>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</si>
  <si>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</si>
  <si>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</si>
  <si>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</si>
  <si>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</si>
  <si>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</si>
  <si>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</si>
  <si>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</si>
  <si>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</si>
  <si>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</si>
  <si>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</si>
  <si>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</si>
  <si>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</si>
  <si>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</si>
  <si>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</si>
  <si>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</si>
  <si>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</si>
  <si>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</si>
  <si>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</si>
  <si>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</si>
  <si>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</si>
  <si>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</si>
  <si>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</si>
  <si>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</si>
  <si>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</si>
  <si>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</si>
  <si>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</si>
  <si>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</si>
  <si>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</si>
  <si>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</si>
  <si>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</si>
  <si>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</si>
  <si>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</si>
  <si>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</si>
  <si>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</si>
  <si>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</si>
  <si>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</si>
  <si>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</si>
  <si>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</si>
  <si>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</si>
  <si>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</si>
  <si>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</si>
  <si>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</si>
  <si>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</si>
  <si>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</si>
  <si>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</si>
  <si>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</si>
  <si>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</si>
  <si>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</si>
  <si>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</si>
  <si>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</si>
  <si>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</si>
  <si>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</si>
  <si>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</si>
  <si>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</si>
  <si>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</si>
  <si>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</si>
  <si>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</si>
  <si>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</si>
  <si>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</si>
  <si>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</si>
  <si>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</si>
  <si>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</si>
  <si>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</si>
  <si>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</si>
  <si>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</si>
  <si>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</si>
  <si>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</si>
  <si>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</si>
  <si>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</si>
  <si>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</si>
  <si>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</si>
  <si>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</si>
  <si>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</si>
  <si>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</si>
  <si>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</si>
  <si>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</si>
  <si>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</si>
  <si>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</si>
  <si>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</si>
  <si>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</si>
  <si>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</si>
  <si>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</si>
  <si>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</si>
  <si>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</si>
  <si>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</si>
  <si>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</si>
  <si>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</si>
  <si>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</si>
  <si>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</si>
  <si>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</si>
  <si>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</si>
  <si>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</si>
  <si>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</si>
  <si>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</si>
  <si>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</si>
  <si>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</si>
  <si>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</si>
  <si>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</si>
  <si>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</si>
  <si>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</si>
  <si>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</si>
  <si>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</si>
  <si>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</si>
  <si>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</si>
  <si>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</si>
  <si>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</si>
  <si>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</si>
  <si>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</si>
  <si>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</si>
  <si>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</si>
  <si>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</si>
  <si>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</si>
  <si>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</si>
  <si>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</si>
  <si>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</si>
  <si>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</si>
  <si>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</si>
  <si>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</si>
  <si>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</si>
  <si>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</si>
  <si>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</si>
  <si>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</si>
  <si>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</si>
  <si>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</si>
  <si>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</si>
  <si>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</si>
  <si>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</si>
  <si>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</si>
  <si>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</si>
  <si>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</si>
  <si>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</si>
  <si>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</si>
  <si>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</si>
  <si>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</si>
  <si>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</si>
  <si>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</si>
  <si>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</si>
  <si>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</si>
  <si>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</si>
  <si>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</si>
  <si>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</si>
  <si>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</si>
  <si>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</si>
  <si>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</si>
  <si>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</si>
  <si>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</si>
  <si>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</si>
  <si>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</si>
  <si>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</si>
  <si>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</si>
  <si>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</si>
  <si>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</si>
  <si>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</si>
  <si>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</si>
  <si>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</si>
  <si>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</si>
  <si>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</si>
  <si>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</si>
  <si>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</si>
  <si>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</si>
  <si>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</si>
  <si>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</si>
  <si>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</si>
  <si>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</si>
  <si>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</si>
  <si>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</si>
  <si>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</si>
  <si>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</si>
  <si>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</si>
  <si>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</si>
  <si>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</si>
  <si>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</si>
  <si>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</si>
  <si>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</si>
  <si>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</si>
  <si>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</si>
  <si>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</si>
  <si>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</si>
  <si>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</si>
  <si>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</si>
  <si>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</si>
  <si>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</si>
  <si>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</si>
  <si>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</si>
  <si>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</si>
  <si>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</si>
  <si>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</si>
  <si>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</si>
  <si>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</si>
  <si>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</si>
  <si>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Individuelt effektiviseringskrav til de økonomiske rammer for 2024-2027</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</si>
  <si>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</si>
  <si>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</si>
  <si>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</si>
  <si>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</si>
  <si>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</si>
  <si>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</si>
  <si>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</si>
  <si>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</si>
  <si>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</si>
  <si>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</si>
  <si>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</si>
  <si>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</si>
  <si>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</si>
  <si>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</si>
  <si>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</si>
  <si>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</si>
  <si>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</si>
  <si>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</si>
  <si>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</si>
  <si>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Separatkloakering</t>
  </si>
  <si>
    <t>Udvidelse af forsyningsområdet</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</si>
  <si>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</si>
  <si>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</si>
  <si>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</si>
  <si>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</si>
  <si>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</si>
  <si>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</si>
  <si>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</si>
  <si>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</si>
  <si>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</si>
  <si>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</si>
  <si>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</si>
  <si>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</si>
  <si>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</si>
  <si>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</si>
  <si>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</si>
  <si>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Ejendomsskatter</t>
  </si>
  <si>
    <t>+ For sen afgørelse, som kan opkræves senest i 2023</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</si>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</sst>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3" fontId="8" fillId="8" borderId="1" xfId="1" applyNumberFormat="1" applyFont="1" applyFill="1" applyBorder="1" applyProtection="1"/>
    <xf numFmtId="3" fontId="8" fillId="8" borderId="3" xfId="0"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2"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0" t="s">
        <v>4</v>
      </c>
      <c r="E6" s="100"/>
      <c r="F6" s="100"/>
      <c r="G6" s="100"/>
      <c r="H6" s="3"/>
      <c r="I6" s="1"/>
    </row>
    <row r="7" spans="1:9" ht="15" customHeight="1" x14ac:dyDescent="0.25">
      <c r="A7" s="1"/>
      <c r="B7" s="1"/>
      <c r="C7" s="3"/>
      <c r="D7" s="100"/>
      <c r="E7" s="100"/>
      <c r="F7" s="100"/>
      <c r="G7" s="100"/>
      <c r="H7" s="3"/>
      <c r="I7" s="1"/>
    </row>
    <row r="8" spans="1:9" ht="15.75" x14ac:dyDescent="0.25">
      <c r="A8" s="1"/>
      <c r="B8" s="1"/>
      <c r="C8" s="4"/>
      <c r="D8" s="105" t="s">
        <v>253</v>
      </c>
      <c r="E8" s="105"/>
      <c r="F8" s="105"/>
      <c r="G8" s="10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4" t="s">
        <v>5</v>
      </c>
      <c r="E11" s="104"/>
      <c r="F11" s="104"/>
      <c r="G11" s="104"/>
      <c r="H11" s="5"/>
      <c r="I11" s="1"/>
    </row>
    <row r="12" spans="1:9" x14ac:dyDescent="0.25">
      <c r="A12" s="1"/>
      <c r="B12" s="1"/>
      <c r="C12" s="1"/>
      <c r="D12" s="1"/>
      <c r="E12" s="1"/>
      <c r="F12" s="1"/>
      <c r="G12" s="1"/>
      <c r="H12" s="5"/>
      <c r="I12" s="1"/>
    </row>
    <row r="13" spans="1:9" x14ac:dyDescent="0.25">
      <c r="A13" s="1"/>
      <c r="B13" s="1"/>
      <c r="C13" s="6" t="s">
        <v>6</v>
      </c>
      <c r="D13" s="106" t="s">
        <v>196</v>
      </c>
      <c r="E13" s="107"/>
      <c r="F13" s="107"/>
      <c r="G13" s="108"/>
      <c r="H13" s="5"/>
      <c r="I13" s="1"/>
    </row>
    <row r="14" spans="1:9" x14ac:dyDescent="0.25">
      <c r="A14" s="1"/>
      <c r="B14" s="1"/>
      <c r="C14" s="6" t="s">
        <v>16</v>
      </c>
      <c r="D14" s="97" t="s">
        <v>197</v>
      </c>
      <c r="E14" s="98"/>
      <c r="F14" s="98"/>
      <c r="G14" s="99"/>
      <c r="H14" s="5"/>
      <c r="I14" s="1"/>
    </row>
    <row r="15" spans="1:9" x14ac:dyDescent="0.25">
      <c r="A15" s="1"/>
      <c r="B15" s="1"/>
      <c r="C15" s="6" t="s">
        <v>31</v>
      </c>
      <c r="D15" s="97" t="s">
        <v>263</v>
      </c>
      <c r="E15" s="98"/>
      <c r="F15" s="98"/>
      <c r="G15" s="99"/>
      <c r="H15" s="5"/>
      <c r="I15" s="1"/>
    </row>
    <row r="16" spans="1:9" x14ac:dyDescent="0.25">
      <c r="A16" s="1"/>
      <c r="B16" s="1"/>
      <c r="C16" s="6" t="s">
        <v>32</v>
      </c>
      <c r="D16" s="97" t="s">
        <v>264</v>
      </c>
      <c r="E16" s="98"/>
      <c r="F16" s="98"/>
      <c r="G16" s="99"/>
      <c r="H16" s="5"/>
      <c r="I16" s="1"/>
    </row>
    <row r="17" spans="1:9" x14ac:dyDescent="0.25">
      <c r="A17" s="1"/>
      <c r="B17" s="1"/>
      <c r="C17" s="6" t="s">
        <v>101</v>
      </c>
      <c r="D17" s="97" t="s">
        <v>198</v>
      </c>
      <c r="E17" s="98"/>
      <c r="F17" s="98"/>
      <c r="G17" s="99"/>
      <c r="H17" s="5"/>
      <c r="I17" s="1"/>
    </row>
    <row r="18" spans="1:9" x14ac:dyDescent="0.25">
      <c r="A18" s="1"/>
      <c r="B18" s="1"/>
      <c r="C18" s="6" t="s">
        <v>88</v>
      </c>
      <c r="D18" s="94" t="s">
        <v>79</v>
      </c>
      <c r="E18" s="95"/>
      <c r="F18" s="95"/>
      <c r="G18" s="96"/>
      <c r="H18" s="5"/>
      <c r="I18" s="1"/>
    </row>
    <row r="19" spans="1:9" x14ac:dyDescent="0.25">
      <c r="A19" s="1"/>
      <c r="B19" s="1"/>
      <c r="C19" s="6" t="s">
        <v>89</v>
      </c>
      <c r="D19" s="94" t="s">
        <v>80</v>
      </c>
      <c r="E19" s="95"/>
      <c r="F19" s="95"/>
      <c r="G19" s="96"/>
      <c r="H19" s="5"/>
      <c r="I19" s="1"/>
    </row>
    <row r="20" spans="1:9" x14ac:dyDescent="0.25">
      <c r="A20" s="1"/>
      <c r="B20" s="1"/>
      <c r="C20" s="6" t="s">
        <v>7</v>
      </c>
      <c r="D20" s="94" t="s">
        <v>10</v>
      </c>
      <c r="E20" s="95"/>
      <c r="F20" s="95"/>
      <c r="G20" s="96"/>
      <c r="H20" s="5"/>
      <c r="I20" s="1"/>
    </row>
    <row r="21" spans="1:9" x14ac:dyDescent="0.25">
      <c r="A21" s="1"/>
      <c r="B21" s="1"/>
      <c r="C21" s="6" t="s">
        <v>90</v>
      </c>
      <c r="D21" s="101" t="s">
        <v>12</v>
      </c>
      <c r="E21" s="102"/>
      <c r="F21" s="102"/>
      <c r="G21" s="103"/>
      <c r="H21" s="5"/>
      <c r="I21" s="1"/>
    </row>
    <row r="22" spans="1:9" x14ac:dyDescent="0.25">
      <c r="A22" s="1"/>
      <c r="B22" s="1"/>
      <c r="C22" s="6" t="s">
        <v>71</v>
      </c>
      <c r="D22" s="88" t="s">
        <v>199</v>
      </c>
      <c r="E22" s="89"/>
      <c r="F22" s="89"/>
      <c r="G22" s="90"/>
      <c r="H22" s="5"/>
      <c r="I22" s="1"/>
    </row>
    <row r="23" spans="1:9" x14ac:dyDescent="0.25">
      <c r="A23" s="1"/>
      <c r="B23" s="1"/>
      <c r="C23" s="6" t="s">
        <v>8</v>
      </c>
      <c r="D23" s="88" t="s">
        <v>181</v>
      </c>
      <c r="E23" s="89"/>
      <c r="F23" s="89"/>
      <c r="G23" s="90"/>
      <c r="H23" s="5"/>
      <c r="I23" s="1"/>
    </row>
    <row r="24" spans="1:9" x14ac:dyDescent="0.25">
      <c r="A24" s="1"/>
      <c r="B24" s="1"/>
      <c r="C24" s="6" t="s">
        <v>9</v>
      </c>
      <c r="D24" s="88" t="s">
        <v>200</v>
      </c>
      <c r="E24" s="89"/>
      <c r="F24" s="89"/>
      <c r="G24" s="90"/>
      <c r="H24" s="5"/>
      <c r="I24" s="1"/>
    </row>
    <row r="25" spans="1:9" x14ac:dyDescent="0.25">
      <c r="A25" s="1"/>
      <c r="B25" s="1"/>
      <c r="C25" s="6" t="s">
        <v>166</v>
      </c>
      <c r="D25" s="88" t="s">
        <v>160</v>
      </c>
      <c r="E25" s="89"/>
      <c r="F25" s="89"/>
      <c r="G25" s="90"/>
      <c r="H25" s="1"/>
      <c r="I25" s="1"/>
    </row>
    <row r="26" spans="1:9" x14ac:dyDescent="0.25">
      <c r="A26" s="1"/>
      <c r="B26" s="1"/>
      <c r="C26" s="6" t="s">
        <v>167</v>
      </c>
      <c r="D26" s="88" t="s">
        <v>72</v>
      </c>
      <c r="E26" s="89"/>
      <c r="F26" s="89"/>
      <c r="G26" s="90"/>
      <c r="H26" s="1"/>
      <c r="I26" s="1"/>
    </row>
    <row r="27" spans="1:9" x14ac:dyDescent="0.25">
      <c r="A27" s="1"/>
      <c r="B27" s="1"/>
      <c r="C27" s="6" t="s">
        <v>168</v>
      </c>
      <c r="D27" s="88" t="s">
        <v>73</v>
      </c>
      <c r="E27" s="89"/>
      <c r="F27" s="89"/>
      <c r="G27" s="90"/>
      <c r="H27" s="1"/>
      <c r="I27" s="1"/>
    </row>
    <row r="28" spans="1:9" x14ac:dyDescent="0.25">
      <c r="A28" s="1"/>
      <c r="B28" s="1"/>
      <c r="C28" s="6" t="s">
        <v>15</v>
      </c>
      <c r="D28" s="88" t="s">
        <v>74</v>
      </c>
      <c r="E28" s="89"/>
      <c r="F28" s="89"/>
      <c r="G28" s="90"/>
      <c r="H28" s="1"/>
      <c r="I28" s="1"/>
    </row>
    <row r="29" spans="1:9" x14ac:dyDescent="0.25">
      <c r="A29" s="1"/>
      <c r="B29" s="1"/>
      <c r="C29" s="6" t="s">
        <v>34</v>
      </c>
      <c r="D29" s="88" t="s">
        <v>114</v>
      </c>
      <c r="E29" s="89"/>
      <c r="F29" s="89"/>
      <c r="G29" s="90"/>
      <c r="H29" s="1"/>
      <c r="I29" s="1"/>
    </row>
    <row r="30" spans="1:9" x14ac:dyDescent="0.25">
      <c r="A30" s="1"/>
      <c r="B30" s="1"/>
      <c r="C30" s="6" t="s">
        <v>35</v>
      </c>
      <c r="D30" s="88" t="s">
        <v>33</v>
      </c>
      <c r="E30" s="89"/>
      <c r="F30" s="89"/>
      <c r="G30" s="90"/>
      <c r="H30" s="1"/>
      <c r="I30" s="1"/>
    </row>
    <row r="31" spans="1:9" x14ac:dyDescent="0.25">
      <c r="A31" s="1"/>
      <c r="B31" s="1"/>
      <c r="C31" s="6" t="s">
        <v>169</v>
      </c>
      <c r="D31" s="91" t="s">
        <v>87</v>
      </c>
      <c r="E31" s="92"/>
      <c r="F31" s="92"/>
      <c r="G31" s="9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wti/DqlcyzXN77a3Sa7FwLdhnhadWLrM34N8WFP4o6i+wh9DLgEMHNFhq3v/pFSCxHUIXLuMaahnNdlfHhUcnw==" saltValue="YfYGgapwTkI5g6fT+nIdY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3" t="s">
        <v>224</v>
      </c>
      <c r="C8" s="114"/>
      <c r="D8" s="115"/>
      <c r="E8" s="1"/>
      <c r="F8" s="1"/>
    </row>
    <row r="9" spans="1:6" ht="15" customHeight="1" x14ac:dyDescent="0.25">
      <c r="A9" s="1"/>
      <c r="B9" s="27" t="s">
        <v>29</v>
      </c>
      <c r="C9" s="50" t="s">
        <v>225</v>
      </c>
      <c r="D9" s="11"/>
      <c r="E9" s="1"/>
      <c r="F9" s="1"/>
    </row>
    <row r="10" spans="1:6" ht="15" customHeight="1" x14ac:dyDescent="0.25">
      <c r="A10" s="1"/>
      <c r="B10" s="79" t="s">
        <v>286</v>
      </c>
      <c r="C10" s="9">
        <v>382712</v>
      </c>
      <c r="D10" s="14" t="s">
        <v>3</v>
      </c>
      <c r="E10" s="1"/>
      <c r="F10" s="1"/>
    </row>
    <row r="11" spans="1:6" ht="15" customHeight="1" x14ac:dyDescent="0.25">
      <c r="A11" s="1"/>
      <c r="B11" s="79" t="s">
        <v>287</v>
      </c>
      <c r="C11" s="9">
        <v>83574</v>
      </c>
      <c r="D11" s="14" t="s">
        <v>3</v>
      </c>
      <c r="E11" s="1"/>
      <c r="F11" s="1"/>
    </row>
    <row r="12" spans="1:6" x14ac:dyDescent="0.25">
      <c r="A12" s="1"/>
      <c r="B12" s="79" t="s">
        <v>288</v>
      </c>
      <c r="C12" s="9">
        <v>30756</v>
      </c>
      <c r="D12" s="14" t="s">
        <v>3</v>
      </c>
      <c r="E12" s="1"/>
      <c r="F12" s="1"/>
    </row>
    <row r="13" spans="1:6" x14ac:dyDescent="0.25">
      <c r="A13" s="1"/>
      <c r="B13" s="79" t="s">
        <v>289</v>
      </c>
      <c r="C13" s="9">
        <v>115633</v>
      </c>
      <c r="D13" s="14" t="s">
        <v>3</v>
      </c>
      <c r="E13" s="1"/>
      <c r="F13" s="1"/>
    </row>
    <row r="14" spans="1:6" x14ac:dyDescent="0.25">
      <c r="A14" s="1"/>
      <c r="B14" s="79"/>
      <c r="C14" s="9"/>
      <c r="D14" s="14" t="s">
        <v>3</v>
      </c>
      <c r="E14" s="1"/>
      <c r="F14" s="1"/>
    </row>
    <row r="15" spans="1:6" x14ac:dyDescent="0.25">
      <c r="A15" s="1"/>
      <c r="B15" s="79"/>
      <c r="C15" s="9"/>
      <c r="D15" s="14" t="s">
        <v>3</v>
      </c>
      <c r="E15" s="1"/>
      <c r="F15" s="1"/>
    </row>
    <row r="16" spans="1:6" x14ac:dyDescent="0.25">
      <c r="A16" s="1"/>
      <c r="B16" s="79"/>
      <c r="C16" s="9"/>
      <c r="D16" s="14" t="s">
        <v>3</v>
      </c>
      <c r="E16" s="1"/>
      <c r="F16" s="1"/>
    </row>
    <row r="17" spans="1:6" x14ac:dyDescent="0.25">
      <c r="A17" s="1"/>
      <c r="B17" s="79"/>
      <c r="C17" s="9"/>
      <c r="D17" s="14" t="s">
        <v>3</v>
      </c>
      <c r="E17" s="1"/>
      <c r="F17" s="1"/>
    </row>
    <row r="18" spans="1:6" x14ac:dyDescent="0.25">
      <c r="A18" s="1"/>
      <c r="B18" s="79"/>
      <c r="C18" s="9"/>
      <c r="D18" s="14" t="s">
        <v>3</v>
      </c>
      <c r="E18" s="1"/>
      <c r="F18" s="1"/>
    </row>
    <row r="19" spans="1:6" x14ac:dyDescent="0.25">
      <c r="A19" s="1"/>
      <c r="B19" s="79"/>
      <c r="C19" s="9"/>
      <c r="D19" s="14" t="s">
        <v>3</v>
      </c>
      <c r="E19" s="1"/>
      <c r="F19" s="1"/>
    </row>
    <row r="20" spans="1:6" x14ac:dyDescent="0.25">
      <c r="A20" s="1"/>
      <c r="B20" s="33" t="s">
        <v>226</v>
      </c>
      <c r="C20" s="12">
        <f>SUM(C10:C19)</f>
        <v>612675</v>
      </c>
      <c r="D20" s="13" t="s">
        <v>3</v>
      </c>
      <c r="E20" s="1"/>
      <c r="F20" s="1"/>
    </row>
    <row r="21" spans="1:6" x14ac:dyDescent="0.25">
      <c r="A21" s="1"/>
      <c r="B21" s="33" t="s">
        <v>227</v>
      </c>
      <c r="C21" s="12">
        <f>C20*(1+'Fane 15. Nøgletal'!C16)^2</f>
        <v>715683.21451199998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3" t="s">
        <v>99</v>
      </c>
      <c r="C24" s="114"/>
      <c r="D24" s="115"/>
      <c r="E24" s="1"/>
      <c r="F24" s="1"/>
    </row>
    <row r="25" spans="1:6" x14ac:dyDescent="0.25">
      <c r="A25" s="1"/>
      <c r="B25" s="79" t="s">
        <v>109</v>
      </c>
      <c r="C25" s="9">
        <v>2263664</v>
      </c>
      <c r="D25" s="14" t="s">
        <v>3</v>
      </c>
      <c r="E25" s="1"/>
      <c r="F25" s="1"/>
    </row>
    <row r="26" spans="1:6" x14ac:dyDescent="0.25">
      <c r="A26" s="1"/>
      <c r="B26" s="79" t="s">
        <v>123</v>
      </c>
      <c r="C26" s="9">
        <v>2263664</v>
      </c>
      <c r="D26" s="14" t="s">
        <v>3</v>
      </c>
      <c r="E26" s="1"/>
      <c r="F26" s="1"/>
    </row>
    <row r="27" spans="1:6" x14ac:dyDescent="0.25">
      <c r="A27" s="1"/>
      <c r="B27" s="79" t="s">
        <v>142</v>
      </c>
      <c r="C27" s="9">
        <v>3565562</v>
      </c>
      <c r="D27" s="14" t="s">
        <v>3</v>
      </c>
      <c r="E27" s="1"/>
      <c r="F27" s="1"/>
    </row>
    <row r="28" spans="1:6" x14ac:dyDescent="0.25">
      <c r="A28" s="1"/>
      <c r="B28" s="34" t="s">
        <v>262</v>
      </c>
      <c r="C28" s="9">
        <v>3580124</v>
      </c>
      <c r="D28" s="38" t="s">
        <v>3</v>
      </c>
      <c r="E28" s="1"/>
      <c r="F28" s="1"/>
    </row>
    <row r="29" spans="1:6" x14ac:dyDescent="0.25">
      <c r="A29" s="1"/>
      <c r="B29" s="113"/>
      <c r="C29" s="114"/>
      <c r="D29" s="115"/>
      <c r="E29" s="1"/>
      <c r="F29" s="1"/>
    </row>
    <row r="30" spans="1:6" x14ac:dyDescent="0.25">
      <c r="A30" s="1"/>
      <c r="B30" s="1"/>
      <c r="C30" s="1"/>
      <c r="D30" s="1"/>
      <c r="E30" s="1"/>
      <c r="F30" s="1"/>
    </row>
    <row r="31" spans="1:6" x14ac:dyDescent="0.25">
      <c r="A31" s="1"/>
      <c r="B31" s="1"/>
      <c r="C31" s="1"/>
      <c r="D31" s="1"/>
      <c r="E31" s="1"/>
      <c r="F31" s="1"/>
    </row>
    <row r="32" spans="1:6" x14ac:dyDescent="0.25">
      <c r="A32" s="1"/>
      <c r="B32" s="113" t="s">
        <v>81</v>
      </c>
      <c r="C32" s="114"/>
      <c r="D32" s="115"/>
      <c r="E32" s="1"/>
      <c r="F32" s="1"/>
    </row>
    <row r="33" spans="1:6" x14ac:dyDescent="0.25">
      <c r="A33" s="1"/>
      <c r="B33" s="79" t="s">
        <v>109</v>
      </c>
      <c r="C33" s="9">
        <v>0</v>
      </c>
      <c r="D33" s="14" t="s">
        <v>3</v>
      </c>
      <c r="E33" s="1"/>
      <c r="F33" s="1"/>
    </row>
    <row r="34" spans="1:6" x14ac:dyDescent="0.25">
      <c r="A34" s="1"/>
      <c r="B34" s="79" t="s">
        <v>123</v>
      </c>
      <c r="C34" s="9">
        <v>0</v>
      </c>
      <c r="D34" s="14" t="s">
        <v>3</v>
      </c>
      <c r="E34" s="1"/>
      <c r="F34" s="1"/>
    </row>
    <row r="35" spans="1:6" x14ac:dyDescent="0.25">
      <c r="A35" s="1"/>
      <c r="B35" s="79" t="s">
        <v>142</v>
      </c>
      <c r="C35" s="9">
        <v>0</v>
      </c>
      <c r="D35" s="14" t="s">
        <v>3</v>
      </c>
      <c r="E35" s="1"/>
      <c r="F35" s="1"/>
    </row>
    <row r="36" spans="1:6" x14ac:dyDescent="0.25">
      <c r="A36" s="1"/>
      <c r="B36" s="34" t="s">
        <v>262</v>
      </c>
      <c r="C36" s="9">
        <v>0</v>
      </c>
      <c r="D36" s="38" t="s">
        <v>3</v>
      </c>
      <c r="E36" s="1"/>
      <c r="F36" s="1"/>
    </row>
    <row r="37" spans="1:6" x14ac:dyDescent="0.25">
      <c r="A37" s="1"/>
      <c r="B37" s="113"/>
      <c r="C37" s="114"/>
      <c r="D37" s="115"/>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bMQO05kefEKTWCgA4SFwygHmPFtsTRm0spGVKRUu45zK4SgLDfATHLouovmqbfYLd8BbL8AoEFXYAy29NwIaEA==" saltValue="ayQjvtn6URwiz/AYqiu3r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4DF82-8247-46DF-A3AA-568CDF12CA28}">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2"/>
      <c r="C5" s="72"/>
      <c r="D5" s="72"/>
      <c r="E5" s="72"/>
      <c r="F5" s="72"/>
      <c r="G5" s="1"/>
    </row>
    <row r="6" spans="1:7" ht="15" customHeight="1" x14ac:dyDescent="0.25">
      <c r="A6" s="1"/>
      <c r="B6" s="72"/>
      <c r="C6" s="72"/>
      <c r="D6" s="72"/>
      <c r="E6" s="72"/>
      <c r="F6" s="72"/>
      <c r="G6" s="1"/>
    </row>
    <row r="7" spans="1:7" ht="15" customHeight="1" x14ac:dyDescent="0.25">
      <c r="A7" s="1"/>
      <c r="B7" s="1"/>
      <c r="C7" s="1"/>
      <c r="D7" s="1"/>
      <c r="E7" s="1"/>
      <c r="F7" s="1"/>
      <c r="G7" s="1"/>
    </row>
    <row r="8" spans="1:7" ht="15" customHeight="1" x14ac:dyDescent="0.25">
      <c r="A8" s="1"/>
      <c r="B8" s="113" t="s">
        <v>137</v>
      </c>
      <c r="C8" s="114"/>
      <c r="D8" s="114"/>
      <c r="E8" s="114"/>
      <c r="F8" s="115"/>
      <c r="G8" s="1"/>
    </row>
    <row r="9" spans="1:7" ht="15" customHeight="1" x14ac:dyDescent="0.25">
      <c r="A9" s="1"/>
      <c r="B9" s="116" t="s">
        <v>274</v>
      </c>
      <c r="C9" s="117"/>
      <c r="D9" s="118"/>
      <c r="E9" s="9">
        <v>3262608</v>
      </c>
      <c r="F9" s="14" t="s">
        <v>3</v>
      </c>
      <c r="G9" s="1"/>
    </row>
    <row r="10" spans="1:7" ht="15" customHeight="1" x14ac:dyDescent="0.25">
      <c r="A10" s="1"/>
      <c r="B10" s="116" t="s">
        <v>143</v>
      </c>
      <c r="C10" s="117"/>
      <c r="D10" s="118"/>
      <c r="E10" s="9">
        <v>935291.38366501033</v>
      </c>
      <c r="F10" s="14" t="s">
        <v>3</v>
      </c>
      <c r="G10" s="1"/>
    </row>
    <row r="11" spans="1:7" ht="15" customHeight="1" x14ac:dyDescent="0.25">
      <c r="A11" s="1"/>
      <c r="B11" s="116" t="s">
        <v>275</v>
      </c>
      <c r="C11" s="117"/>
      <c r="D11" s="118"/>
      <c r="E11" s="9">
        <v>-4537529.4638101757</v>
      </c>
      <c r="F11" s="14" t="s">
        <v>3</v>
      </c>
      <c r="G11" s="1"/>
    </row>
    <row r="12" spans="1:7" x14ac:dyDescent="0.25">
      <c r="A12" s="1"/>
      <c r="B12" s="33"/>
      <c r="C12" s="28"/>
      <c r="D12" s="28"/>
      <c r="E12" s="28"/>
      <c r="F12" s="19"/>
      <c r="G12" s="1"/>
    </row>
    <row r="13" spans="1:7" ht="42" customHeight="1" x14ac:dyDescent="0.25">
      <c r="A13" s="1"/>
      <c r="B13" s="125" t="s">
        <v>276</v>
      </c>
      <c r="C13" s="126"/>
      <c r="D13" s="126"/>
      <c r="E13" s="126"/>
      <c r="F13" s="127"/>
      <c r="G13" s="1"/>
    </row>
    <row r="14" spans="1:7" ht="15" customHeight="1" x14ac:dyDescent="0.25">
      <c r="A14" s="1"/>
      <c r="B14" s="1"/>
      <c r="C14" s="1"/>
      <c r="D14" s="1"/>
      <c r="E14" s="1"/>
      <c r="F14" s="1"/>
      <c r="G14" s="1"/>
    </row>
    <row r="15" spans="1:7" x14ac:dyDescent="0.25">
      <c r="A15" s="1"/>
      <c r="B15" s="73" t="s">
        <v>277</v>
      </c>
      <c r="C15" s="74"/>
      <c r="D15" s="74"/>
      <c r="E15" s="74"/>
      <c r="F15" s="75"/>
      <c r="G15" s="1"/>
    </row>
    <row r="16" spans="1:7" x14ac:dyDescent="0.25">
      <c r="A16" s="1"/>
      <c r="B16" s="76" t="s">
        <v>278</v>
      </c>
      <c r="C16" s="77"/>
      <c r="D16" s="78"/>
      <c r="E16" s="9">
        <f>IF(E11&lt;0,E11,0)</f>
        <v>-4537529.4638101757</v>
      </c>
      <c r="F16" s="14" t="s">
        <v>3</v>
      </c>
      <c r="G16" s="1"/>
    </row>
    <row r="17" spans="1:7" x14ac:dyDescent="0.25">
      <c r="A17" s="1"/>
      <c r="B17" s="76" t="s">
        <v>279</v>
      </c>
      <c r="C17" s="77"/>
      <c r="D17" s="78"/>
      <c r="E17" s="9">
        <f>IF(SUM(E10)&gt;0,SUM(E10),0)</f>
        <v>935291.38366501033</v>
      </c>
      <c r="F17" s="14" t="s">
        <v>3</v>
      </c>
      <c r="G17" s="1"/>
    </row>
    <row r="18" spans="1:7" x14ac:dyDescent="0.25">
      <c r="A18" s="1"/>
      <c r="B18" s="81" t="s">
        <v>280</v>
      </c>
      <c r="C18" s="82"/>
      <c r="D18" s="83"/>
      <c r="E18" s="62">
        <f>IF(SUM(E16:E17)&gt;0,0,SUM(E16:E17))</f>
        <v>-3602238.0801451653</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3" t="s">
        <v>281</v>
      </c>
      <c r="C21" s="74"/>
      <c r="D21" s="74"/>
      <c r="E21" s="74"/>
      <c r="F21" s="75"/>
      <c r="G21" s="1"/>
    </row>
    <row r="22" spans="1:7" x14ac:dyDescent="0.25">
      <c r="A22" s="1"/>
      <c r="B22" s="76" t="s">
        <v>282</v>
      </c>
      <c r="C22" s="77"/>
      <c r="D22" s="78"/>
      <c r="E22" s="9">
        <v>59071657.526619382</v>
      </c>
      <c r="F22" s="14" t="s">
        <v>3</v>
      </c>
      <c r="G22" s="1"/>
    </row>
    <row r="23" spans="1:7" x14ac:dyDescent="0.25">
      <c r="A23" s="1"/>
      <c r="B23" s="76" t="s">
        <v>283</v>
      </c>
      <c r="C23" s="77"/>
      <c r="D23" s="78"/>
      <c r="E23" s="9">
        <v>60150675</v>
      </c>
      <c r="F23" s="14" t="s">
        <v>3</v>
      </c>
      <c r="G23" s="1"/>
    </row>
    <row r="24" spans="1:7" x14ac:dyDescent="0.25">
      <c r="A24" s="1"/>
      <c r="B24" s="76" t="s">
        <v>30</v>
      </c>
      <c r="C24" s="77"/>
      <c r="D24" s="78"/>
      <c r="E24" s="9">
        <v>0</v>
      </c>
      <c r="F24" s="14" t="s">
        <v>3</v>
      </c>
      <c r="G24" s="1"/>
    </row>
    <row r="25" spans="1:7" x14ac:dyDescent="0.25">
      <c r="A25" s="1"/>
      <c r="B25" s="80" t="s">
        <v>290</v>
      </c>
      <c r="C25" s="77"/>
      <c r="D25" s="78"/>
      <c r="E25" s="70">
        <v>1010</v>
      </c>
      <c r="F25" s="14" t="s">
        <v>3</v>
      </c>
      <c r="G25" s="1"/>
    </row>
    <row r="26" spans="1:7" x14ac:dyDescent="0.25">
      <c r="A26" s="1"/>
      <c r="B26" s="81" t="s">
        <v>284</v>
      </c>
      <c r="C26" s="82"/>
      <c r="D26" s="83"/>
      <c r="E26" s="62">
        <f>E22-E23-E24+E25</f>
        <v>-1078007.4733806178</v>
      </c>
      <c r="F26" s="17" t="s">
        <v>3</v>
      </c>
      <c r="G26" s="1"/>
    </row>
    <row r="27" spans="1:7" x14ac:dyDescent="0.25">
      <c r="A27" s="1"/>
      <c r="B27" s="33"/>
      <c r="C27" s="28"/>
      <c r="D27" s="28"/>
      <c r="E27" s="28"/>
      <c r="F27" s="19"/>
      <c r="G27" s="1"/>
    </row>
    <row r="28" spans="1:7" x14ac:dyDescent="0.25">
      <c r="A28" s="1"/>
      <c r="B28" s="1"/>
      <c r="C28" s="1"/>
      <c r="D28" s="1"/>
      <c r="E28" s="1"/>
      <c r="F28" s="1"/>
      <c r="G28" s="1"/>
    </row>
    <row r="29" spans="1:7" x14ac:dyDescent="0.25">
      <c r="A29" s="1"/>
      <c r="B29" s="113" t="s">
        <v>285</v>
      </c>
      <c r="C29" s="114"/>
      <c r="D29" s="114"/>
      <c r="E29" s="114"/>
      <c r="F29" s="115"/>
      <c r="G29" s="1"/>
    </row>
    <row r="30" spans="1:7" x14ac:dyDescent="0.25">
      <c r="A30" s="1"/>
      <c r="B30" s="131" t="s">
        <v>116</v>
      </c>
      <c r="C30" s="132"/>
      <c r="D30" s="133"/>
      <c r="E30" s="9">
        <f>IF(E18&lt;0,IF(E26&lt;0,SUM(E18,E26),IF(E10&gt;0,SUM(E10:E11),E18)),IF(AND(E26&lt;0,SUM(E26,E11)&lt;0),IF(E11&lt;0,E26,IF(SUM(E10:E11)&gt;0,SUM(E26,E11),IF(AND(E26&lt;0,E18=0,E11&gt;0),IF(SUM(E9:E11)&gt;0,E26+E11,E26)))),0))</f>
        <v>-4680245.5535257831</v>
      </c>
      <c r="F30" s="14" t="s">
        <v>3</v>
      </c>
      <c r="G30" s="1"/>
    </row>
    <row r="31" spans="1:7" x14ac:dyDescent="0.25">
      <c r="A31" s="1"/>
      <c r="B31" s="131" t="s">
        <v>84</v>
      </c>
      <c r="C31" s="132"/>
      <c r="D31" s="133"/>
      <c r="E31" s="9">
        <v>2</v>
      </c>
      <c r="F31" s="14" t="s">
        <v>20</v>
      </c>
      <c r="G31" s="1"/>
    </row>
    <row r="32" spans="1:7" x14ac:dyDescent="0.25">
      <c r="A32" s="1"/>
      <c r="B32" s="134" t="s">
        <v>117</v>
      </c>
      <c r="C32" s="135"/>
      <c r="D32" s="136"/>
      <c r="E32" s="10">
        <f>E30/E31</f>
        <v>-2340122.7767628916</v>
      </c>
      <c r="F32" s="17" t="s">
        <v>3</v>
      </c>
      <c r="G32" s="1"/>
    </row>
    <row r="33" spans="1:7" x14ac:dyDescent="0.25">
      <c r="A33" s="1"/>
      <c r="B33" s="137"/>
      <c r="C33" s="138"/>
      <c r="D33" s="138"/>
      <c r="E33" s="138"/>
      <c r="F33" s="139"/>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sheetData>
  <sheetProtection algorithmName="SHA-512" hashValue="13jKUvdouEWfVRDOlSoE5MOJwv9wODzZihJGu92MFIIEL9FHG7Bd3h+HrsPO/i7JNsJOPiMxyuKVL9DH2lLnpQ==" saltValue="CYhoxKVRnNZ9OQGuByFi6Q==" spinCount="100000" sheet="1" objects="1" scenarios="1"/>
  <mergeCells count="11">
    <mergeCell ref="B13:F13"/>
    <mergeCell ref="B3:F4"/>
    <mergeCell ref="B8:F8"/>
    <mergeCell ref="B9:D9"/>
    <mergeCell ref="B10:D10"/>
    <mergeCell ref="B11:D11"/>
    <mergeCell ref="B29:F29"/>
    <mergeCell ref="B30:D30"/>
    <mergeCell ref="B31:D31"/>
    <mergeCell ref="B32:D32"/>
    <mergeCell ref="B33:F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3" t="s">
        <v>189</v>
      </c>
      <c r="C8" s="114"/>
      <c r="D8" s="114"/>
      <c r="E8" s="114"/>
      <c r="F8" s="114"/>
      <c r="G8" s="114"/>
      <c r="H8" s="115"/>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3" t="s">
        <v>180</v>
      </c>
      <c r="C18" s="114"/>
      <c r="D18" s="114"/>
      <c r="E18" s="114"/>
      <c r="F18" s="11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2CmcliJB0qCWa+c1U6If5pB71nQovqg0nhPw7knxxJzSOKKdw92YI9U4BTSbM/MSmvWEIsn1CdeQGMiTqcIMaQ==" saltValue="5DYv/L6DFjqA3czTs1Fe9w=="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228</v>
      </c>
      <c r="C9" s="114"/>
      <c r="D9" s="114"/>
      <c r="E9" s="114"/>
      <c r="F9" s="115"/>
      <c r="G9" s="1"/>
    </row>
    <row r="10" spans="1:7" x14ac:dyDescent="0.25">
      <c r="A10" s="1"/>
      <c r="B10" s="125" t="s">
        <v>82</v>
      </c>
      <c r="C10" s="126"/>
      <c r="D10" s="127"/>
      <c r="E10" s="7">
        <v>0</v>
      </c>
      <c r="F10" s="8" t="s">
        <v>3</v>
      </c>
      <c r="G10" s="1"/>
    </row>
    <row r="11" spans="1:7" x14ac:dyDescent="0.25">
      <c r="A11" s="1"/>
      <c r="B11" s="116" t="s">
        <v>229</v>
      </c>
      <c r="C11" s="117"/>
      <c r="D11" s="118"/>
      <c r="E11" s="7">
        <v>0</v>
      </c>
      <c r="F11" s="8" t="s">
        <v>3</v>
      </c>
      <c r="G11" s="1"/>
    </row>
    <row r="12" spans="1:7" x14ac:dyDescent="0.25">
      <c r="A12" s="1"/>
      <c r="B12" s="134" t="s">
        <v>83</v>
      </c>
      <c r="C12" s="135"/>
      <c r="D12" s="136"/>
      <c r="E12" s="10">
        <f>E11-E10</f>
        <v>0</v>
      </c>
      <c r="F12" s="11" t="s">
        <v>3</v>
      </c>
      <c r="G12" s="1"/>
    </row>
    <row r="13" spans="1:7" x14ac:dyDescent="0.25">
      <c r="A13" s="1"/>
      <c r="B13" s="113" t="s">
        <v>78</v>
      </c>
      <c r="C13" s="114"/>
      <c r="D13" s="114"/>
      <c r="E13" s="114"/>
      <c r="F13" s="115"/>
      <c r="G13" s="1"/>
    </row>
    <row r="14" spans="1:7" x14ac:dyDescent="0.25">
      <c r="A14" s="1"/>
      <c r="B14" s="116" t="s">
        <v>230</v>
      </c>
      <c r="C14" s="117"/>
      <c r="D14" s="118"/>
      <c r="E14" s="7">
        <v>2263664</v>
      </c>
      <c r="F14" s="8" t="s">
        <v>3</v>
      </c>
      <c r="G14" s="1"/>
    </row>
    <row r="15" spans="1:7" x14ac:dyDescent="0.25">
      <c r="A15" s="1"/>
      <c r="B15" s="125" t="s">
        <v>231</v>
      </c>
      <c r="C15" s="126"/>
      <c r="D15" s="127"/>
      <c r="E15" s="7">
        <v>1675444</v>
      </c>
      <c r="F15" s="8" t="s">
        <v>3</v>
      </c>
      <c r="G15" s="1"/>
    </row>
    <row r="16" spans="1:7" x14ac:dyDescent="0.25">
      <c r="A16" s="1"/>
      <c r="B16" s="134" t="s">
        <v>83</v>
      </c>
      <c r="C16" s="135"/>
      <c r="D16" s="136"/>
      <c r="E16" s="10">
        <f>E15-E14</f>
        <v>-588220</v>
      </c>
      <c r="F16" s="11" t="s">
        <v>3</v>
      </c>
      <c r="G16" s="1"/>
    </row>
    <row r="17" spans="1:7" x14ac:dyDescent="0.25">
      <c r="A17" s="1"/>
      <c r="B17" s="33" t="s">
        <v>232</v>
      </c>
      <c r="C17" s="28"/>
      <c r="D17" s="28"/>
      <c r="E17" s="12">
        <f>E12+E16</f>
        <v>-588220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2wHeiwdaPg6vI8qCs4qrQ+T0amQ5u23hcDss8POx3sqld4gsRjf6UZV7EKhQWxIWECpk8KmQ5zOksIGwWsqLA==" saltValue="Yv9YdDtJU2VQ9kH67PMLu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149</v>
      </c>
      <c r="C8" s="114"/>
      <c r="D8" s="114"/>
      <c r="E8" s="114"/>
      <c r="F8" s="114"/>
      <c r="G8" s="114"/>
      <c r="H8" s="114"/>
      <c r="I8" s="114"/>
      <c r="J8" s="114"/>
      <c r="K8" s="115"/>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266</v>
      </c>
      <c r="C10" s="45"/>
      <c r="D10" s="9">
        <v>0</v>
      </c>
      <c r="E10" s="14" t="s">
        <v>3</v>
      </c>
      <c r="F10" s="9">
        <f>IFERROR(D10/C10,0)</f>
        <v>0</v>
      </c>
      <c r="G10" s="14" t="s">
        <v>3</v>
      </c>
      <c r="H10" s="41">
        <v>0</v>
      </c>
      <c r="I10" s="14" t="s">
        <v>3</v>
      </c>
      <c r="J10" s="41">
        <v>0</v>
      </c>
      <c r="K10" s="14" t="s">
        <v>3</v>
      </c>
      <c r="L10" s="1"/>
    </row>
    <row r="11" spans="1:12" x14ac:dyDescent="0.25">
      <c r="A11" s="1"/>
      <c r="B11" s="73" t="s">
        <v>150</v>
      </c>
      <c r="C11" s="74"/>
      <c r="D11" s="75"/>
      <c r="E11" s="75"/>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9tL1Ed/MkzjZe9pm4cdflvR49sDJITFCAxiF1pDhj9Zzs2/wuGhNuHcrgELQdwcNuPWncoQ2adq+kgIHtXhlhQ==" saltValue="7pcq6hW0tyV3c37KG0aEs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272</v>
      </c>
      <c r="C11" s="21">
        <v>45944</v>
      </c>
      <c r="D11" s="14" t="s">
        <v>3</v>
      </c>
      <c r="E11" s="9">
        <v>766496</v>
      </c>
      <c r="F11" s="14" t="s">
        <v>3</v>
      </c>
      <c r="G11" s="1"/>
    </row>
    <row r="12" spans="1:7" x14ac:dyDescent="0.25">
      <c r="A12" s="1"/>
      <c r="B12" s="24" t="s">
        <v>273</v>
      </c>
      <c r="C12" s="21">
        <v>280000</v>
      </c>
      <c r="D12" s="14" t="s">
        <v>3</v>
      </c>
      <c r="E12" s="9">
        <v>1236007</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325944</v>
      </c>
      <c r="D19" s="13" t="s">
        <v>3</v>
      </c>
      <c r="E19" s="12">
        <f>SUM(E10:E18)</f>
        <v>2002503</v>
      </c>
      <c r="F19" s="13" t="s">
        <v>3</v>
      </c>
      <c r="G19" s="1"/>
    </row>
    <row r="20" spans="1:7" x14ac:dyDescent="0.25">
      <c r="A20" s="1"/>
      <c r="B20" s="33" t="s">
        <v>233</v>
      </c>
      <c r="C20" s="12">
        <f>C19*(1+'Fane 15. Nøgletal'!C16)</f>
        <v>352280.27519999997</v>
      </c>
      <c r="D20" s="13" t="s">
        <v>3</v>
      </c>
      <c r="E20" s="12">
        <f>E19*(1+'Fane 15. Nøgletal'!C16)</f>
        <v>2164305.2423999999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Q77/FHWzN0V/PdlBZ2jEGsEpbh17BJvVU9lMUdrPOFoZsGE7mEgW80UI6TmFvd1SuetkCSpx1/xpawBtzt9Nw==" saltValue="S92S73sYxaMCsETOM+a/q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261</v>
      </c>
      <c r="C8" s="114"/>
      <c r="D8" s="114"/>
      <c r="E8" s="114"/>
      <c r="F8" s="115"/>
      <c r="G8" s="1"/>
    </row>
    <row r="9" spans="1:7" x14ac:dyDescent="0.25">
      <c r="A9" s="1"/>
      <c r="B9" s="85" t="s">
        <v>17</v>
      </c>
      <c r="C9" s="85" t="s">
        <v>11</v>
      </c>
      <c r="D9" s="86"/>
      <c r="E9" s="85"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xDUEFpVnyEP3F+ItGgHMcI+7tFNCaw/gWf09zdYPwL84eVwuLe982x5M+jb1Gm+7+Q7zC+atkp3EZP/f5wK2A==" saltValue="peOYH/bcp9Ml2bdgGaNiC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3" t="s">
        <v>110</v>
      </c>
      <c r="C9" s="114"/>
      <c r="D9" s="114"/>
      <c r="E9" s="114"/>
      <c r="F9" s="115"/>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3" t="s">
        <v>111</v>
      </c>
      <c r="C13" s="114"/>
      <c r="D13" s="115"/>
      <c r="E13" s="12">
        <f>SUM(E10:E12)*(1+'Fane 15. Nøgletal'!C16)^2</f>
        <v>0</v>
      </c>
      <c r="F13" s="13" t="s">
        <v>3</v>
      </c>
      <c r="G13" s="1"/>
    </row>
    <row r="14" spans="1:7" x14ac:dyDescent="0.25">
      <c r="A14" s="1"/>
      <c r="B14" s="1"/>
      <c r="C14" s="1"/>
      <c r="D14" s="1"/>
      <c r="E14" s="1"/>
      <c r="F14" s="1"/>
      <c r="G14" s="1"/>
    </row>
    <row r="15" spans="1:7" ht="15" customHeight="1" x14ac:dyDescent="0.25">
      <c r="A15" s="1"/>
      <c r="B15" s="113" t="s">
        <v>124</v>
      </c>
      <c r="C15" s="114"/>
      <c r="D15" s="114"/>
      <c r="E15" s="114"/>
      <c r="F15" s="115"/>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3" t="s">
        <v>125</v>
      </c>
      <c r="C19" s="114"/>
      <c r="D19" s="115"/>
      <c r="E19" s="12">
        <f>SUM(E16:E18)*(1+'Fane 15. Nøgletal'!C16)^3</f>
        <v>0</v>
      </c>
      <c r="F19" s="13" t="s">
        <v>3</v>
      </c>
      <c r="G19" s="1"/>
    </row>
    <row r="20" spans="1:7" x14ac:dyDescent="0.25">
      <c r="A20" s="1"/>
      <c r="B20" s="1"/>
      <c r="C20" s="1"/>
      <c r="D20" s="1"/>
      <c r="E20" s="1"/>
      <c r="F20" s="1"/>
      <c r="G20" s="1"/>
    </row>
    <row r="21" spans="1:7" ht="15" customHeight="1" x14ac:dyDescent="0.25">
      <c r="A21" s="1"/>
      <c r="B21" s="113" t="s">
        <v>145</v>
      </c>
      <c r="C21" s="114"/>
      <c r="D21" s="114"/>
      <c r="E21" s="114"/>
      <c r="F21" s="115"/>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3" t="s">
        <v>146</v>
      </c>
      <c r="C25" s="114"/>
      <c r="D25" s="115"/>
      <c r="E25" s="12">
        <f>SUM(E22:E24)*(1+'Fane 15. Nøgletal'!C16)^4</f>
        <v>0</v>
      </c>
      <c r="F25" s="13" t="s">
        <v>3</v>
      </c>
      <c r="G25" s="1"/>
    </row>
    <row r="26" spans="1:7" x14ac:dyDescent="0.25">
      <c r="A26" s="1"/>
      <c r="B26" s="1"/>
      <c r="C26" s="1"/>
      <c r="D26" s="1"/>
      <c r="E26" s="1"/>
      <c r="F26" s="1"/>
      <c r="G26" s="1"/>
    </row>
    <row r="27" spans="1:7" ht="15" customHeight="1" x14ac:dyDescent="0.25">
      <c r="A27" s="1"/>
      <c r="B27" s="113" t="s">
        <v>237</v>
      </c>
      <c r="C27" s="114"/>
      <c r="D27" s="114"/>
      <c r="E27" s="114"/>
      <c r="F27" s="115"/>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3" t="s">
        <v>238</v>
      </c>
      <c r="C31" s="114"/>
      <c r="D31" s="115"/>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nGuso23JSUJXruDgLbymX9Axl2se/hiqbI8xQlp2Zki8rCATVpLsw7tWznPF54KrCYPd8JrWrl9oLaeg0XQtg==" saltValue="rFrqR9ulQZTITwbdp2TRy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112</v>
      </c>
      <c r="C8" s="114"/>
      <c r="D8" s="114"/>
      <c r="E8" s="114"/>
      <c r="F8" s="115"/>
      <c r="G8" s="1"/>
    </row>
    <row r="9" spans="1:7" ht="15" customHeight="1" x14ac:dyDescent="0.25">
      <c r="A9" s="1"/>
      <c r="B9" s="31" t="s">
        <v>113</v>
      </c>
      <c r="C9" s="31" t="s">
        <v>11</v>
      </c>
      <c r="D9" s="32"/>
      <c r="E9" s="31" t="s">
        <v>28</v>
      </c>
      <c r="F9" s="32"/>
      <c r="G9" s="1"/>
    </row>
    <row r="10" spans="1:7" ht="26.25" x14ac:dyDescent="0.25">
      <c r="A10" s="1"/>
      <c r="B10" s="68" t="s">
        <v>270</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R2YYQVJx0ja8qhOJHIIftYS3ISfAa0Q7Sfecque5Zifxz/g0kRLyHoNWUn2AbGLozNZ0fidI55cTSCRtT8aiTA==" saltValue="XVJFRq1sn5YHS+rA4KAat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240</v>
      </c>
      <c r="C9" s="114"/>
      <c r="D9" s="114"/>
      <c r="E9" s="114"/>
      <c r="F9" s="115"/>
      <c r="G9" s="1"/>
    </row>
    <row r="10" spans="1:7" ht="26.25" customHeight="1" x14ac:dyDescent="0.25">
      <c r="A10" s="1"/>
      <c r="B10" s="31" t="s">
        <v>18</v>
      </c>
      <c r="C10" s="143" t="s">
        <v>11</v>
      </c>
      <c r="D10" s="145"/>
      <c r="E10" s="143" t="s">
        <v>28</v>
      </c>
      <c r="F10" s="145"/>
      <c r="G10" s="1"/>
    </row>
    <row r="11" spans="1:7" x14ac:dyDescent="0.25">
      <c r="A11" s="1"/>
      <c r="B11" s="68" t="s">
        <v>271</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6YFg4cvyCjW/kg+ybtce7uLpKucAelXjj1PmPGVBNGPxp/iSEIC/ejpbZWdYG3PRqn0D1MP7gc6rQT60ZLueA==" saltValue="Id3nIbHjvjFWDyOMRwb0n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60472814.42922277</v>
      </c>
      <c r="D9" s="8" t="s">
        <v>3</v>
      </c>
      <c r="E9" s="1"/>
    </row>
    <row r="10" spans="1:5" ht="17.25" customHeight="1" x14ac:dyDescent="0.25">
      <c r="A10" s="1"/>
      <c r="B10" s="87" t="s">
        <v>36</v>
      </c>
      <c r="C10" s="7">
        <f>'Fane 11.1. Varige tillæg'!C20</f>
        <v>352280.27519999997</v>
      </c>
      <c r="D10" s="8" t="s">
        <v>3</v>
      </c>
      <c r="E10" s="1"/>
    </row>
    <row r="11" spans="1:5" ht="17.25" customHeight="1" x14ac:dyDescent="0.25">
      <c r="A11" s="1"/>
      <c r="B11" s="87" t="s">
        <v>37</v>
      </c>
      <c r="C11" s="9">
        <f>'Fane 11.1. Varige tillæg'!E20</f>
        <v>2164305.2423999999</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5089543.5157032795</v>
      </c>
      <c r="D16" s="8" t="s">
        <v>3</v>
      </c>
      <c r="E16" s="1"/>
    </row>
    <row r="17" spans="1:5" ht="17.25" customHeight="1" x14ac:dyDescent="0.25">
      <c r="A17" s="1"/>
      <c r="B17" s="87" t="s">
        <v>10</v>
      </c>
      <c r="C17" s="41">
        <f>-SUM(C9,C10:C16)*'Fane 5. Individuelt eff. krav'!G9</f>
        <v>-842753.38794310403</v>
      </c>
      <c r="D17" s="8" t="s">
        <v>3</v>
      </c>
      <c r="E17" s="1"/>
    </row>
    <row r="18" spans="1:5" ht="17.25" customHeight="1" x14ac:dyDescent="0.25">
      <c r="A18" s="1"/>
      <c r="B18" s="87" t="s">
        <v>23</v>
      </c>
      <c r="C18" s="41">
        <f>-'Fane 4.1. Gen. krav - drift'!G54</f>
        <v>-364526.45810329507</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66871663.616479658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2979347.2145119999</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67"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ØR2022'!E32</f>
        <v>-2340122.7767628916</v>
      </c>
      <c r="D32" s="11" t="s">
        <v>3</v>
      </c>
      <c r="E32" s="1"/>
    </row>
    <row r="33" spans="1:5" ht="15" customHeight="1" x14ac:dyDescent="0.25">
      <c r="A33" s="1"/>
      <c r="B33" s="33" t="s">
        <v>200</v>
      </c>
      <c r="C33" s="28"/>
      <c r="D33" s="19"/>
      <c r="E33" s="1"/>
    </row>
    <row r="34" spans="1:5" x14ac:dyDescent="0.25">
      <c r="A34" s="1"/>
      <c r="B34" s="31" t="s">
        <v>200</v>
      </c>
      <c r="C34" s="10">
        <f>'Fane 9. Korrektion af ØR2022'!E17</f>
        <v>-588220</v>
      </c>
      <c r="D34" s="11" t="s">
        <v>3</v>
      </c>
      <c r="E34" s="1"/>
    </row>
    <row r="35" spans="1:5" x14ac:dyDescent="0.25">
      <c r="A35" s="1"/>
      <c r="B35" s="30" t="s">
        <v>135</v>
      </c>
      <c r="C35" s="28"/>
      <c r="D35" s="19"/>
      <c r="E35" s="1"/>
    </row>
    <row r="36" spans="1:5" x14ac:dyDescent="0.25">
      <c r="A36" s="1"/>
      <c r="B36" s="67" t="s">
        <v>136</v>
      </c>
      <c r="C36" s="10">
        <f>'Fane 8. Skattesagen'!G13</f>
        <v>0</v>
      </c>
      <c r="D36" s="11" t="s">
        <v>3</v>
      </c>
      <c r="E36" s="1"/>
    </row>
    <row r="37" spans="1:5" x14ac:dyDescent="0.25">
      <c r="A37" s="1"/>
      <c r="B37" s="30" t="s">
        <v>291</v>
      </c>
      <c r="C37" s="28"/>
      <c r="D37" s="19"/>
      <c r="E37" s="1"/>
    </row>
    <row r="38" spans="1:5" x14ac:dyDescent="0.25">
      <c r="A38" s="1"/>
      <c r="B38" s="67" t="s">
        <v>292</v>
      </c>
      <c r="C38" s="10">
        <v>452426.31864727428</v>
      </c>
      <c r="D38" s="11" t="s">
        <v>3</v>
      </c>
      <c r="E38" s="1"/>
    </row>
    <row r="39" spans="1:5" x14ac:dyDescent="0.25">
      <c r="A39" s="1"/>
      <c r="B39" s="33" t="s">
        <v>108</v>
      </c>
      <c r="C39" s="49">
        <f>SUM(C34,C32,C24,C30,C22,C20,C36,C38)</f>
        <v>67375094.372876048</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4qKT9jIlF/rlI1FoUrF68SEEjA1mzugOVfCowsxJQkF2CbdmXae0g73SHF022wdvuYjrLUjQKjZILGnWTzIb7A==" saltValue="Y3mE4Mh0sT64uDZZOodxw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79" t="s">
        <v>94</v>
      </c>
      <c r="C9" s="25">
        <v>1.2699999999999999E-2</v>
      </c>
      <c r="D9" s="1"/>
    </row>
    <row r="10" spans="1:4" x14ac:dyDescent="0.25">
      <c r="A10" s="1"/>
      <c r="B10" s="79" t="s">
        <v>95</v>
      </c>
      <c r="C10" s="25">
        <v>1.7500000000000002E-2</v>
      </c>
      <c r="D10" s="1"/>
    </row>
    <row r="11" spans="1:4" x14ac:dyDescent="0.25">
      <c r="A11" s="1"/>
      <c r="B11" s="79"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79" t="s">
        <v>133</v>
      </c>
      <c r="C14" s="39">
        <v>3.3E-3</v>
      </c>
      <c r="D14" s="1"/>
    </row>
    <row r="15" spans="1:4" x14ac:dyDescent="0.25">
      <c r="A15" s="1"/>
      <c r="B15" s="34" t="s">
        <v>152</v>
      </c>
      <c r="C15" s="35">
        <v>3.56E-2</v>
      </c>
      <c r="D15" s="1"/>
    </row>
    <row r="16" spans="1:4" x14ac:dyDescent="0.25">
      <c r="A16" s="1"/>
      <c r="B16" s="64" t="s">
        <v>190</v>
      </c>
      <c r="C16" s="66">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79" t="s">
        <v>96</v>
      </c>
      <c r="C21" s="22">
        <v>9.1000000000000004E-3</v>
      </c>
      <c r="D21" s="1"/>
    </row>
    <row r="22" spans="1:4" x14ac:dyDescent="0.25">
      <c r="A22" s="1"/>
      <c r="B22" s="79" t="s">
        <v>118</v>
      </c>
      <c r="C22" s="22">
        <v>1.77E-2</v>
      </c>
      <c r="D22" s="1"/>
    </row>
    <row r="23" spans="1:4" x14ac:dyDescent="0.25">
      <c r="A23" s="1"/>
      <c r="B23" s="79" t="s">
        <v>119</v>
      </c>
      <c r="C23" s="22">
        <v>8.6999999999999994E-3</v>
      </c>
      <c r="D23" s="1"/>
    </row>
    <row r="24" spans="1:4" x14ac:dyDescent="0.25">
      <c r="A24" s="1"/>
      <c r="B24" s="79" t="s">
        <v>97</v>
      </c>
      <c r="C24" s="36">
        <v>2.8400000000000002E-2</v>
      </c>
      <c r="D24" s="1"/>
    </row>
    <row r="25" spans="1:4" x14ac:dyDescent="0.25">
      <c r="A25" s="1"/>
      <c r="B25" s="79" t="s">
        <v>120</v>
      </c>
      <c r="C25" s="36">
        <v>2.75E-2</v>
      </c>
      <c r="D25" s="1"/>
    </row>
    <row r="26" spans="1:4" x14ac:dyDescent="0.25">
      <c r="A26" s="1"/>
      <c r="B26" s="79" t="s">
        <v>121</v>
      </c>
      <c r="C26" s="36">
        <v>1.4800000000000001E-2</v>
      </c>
      <c r="D26" s="1"/>
    </row>
    <row r="27" spans="1:4" x14ac:dyDescent="0.25">
      <c r="A27" s="1"/>
      <c r="B27" s="34" t="s">
        <v>147</v>
      </c>
      <c r="C27" s="63">
        <v>0</v>
      </c>
      <c r="D27" s="1"/>
    </row>
    <row r="28" spans="1:4" x14ac:dyDescent="0.25">
      <c r="A28" s="1"/>
      <c r="B28" s="64" t="s">
        <v>191</v>
      </c>
      <c r="C28" s="65">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79"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nzY5Kwn9jPoRtOZrpwTnZKMBYpj597BllgVeCjaMF601H6z4Pa6mxLBPNokrD76nSohArosDnxfhXO6LdbA13w==" saltValue="NrDdv1oQWkgyFiSR7g3LA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66871663.616479658</v>
      </c>
      <c r="D9" s="8" t="s">
        <v>3</v>
      </c>
      <c r="E9" s="1"/>
    </row>
    <row r="10" spans="1:5" ht="15" customHeight="1" x14ac:dyDescent="0.25">
      <c r="A10" s="1"/>
      <c r="B10" s="26" t="s">
        <v>19</v>
      </c>
      <c r="C10" s="7">
        <f>SUM(C9:C9)*'Fane 15. Nøgletal'!C16</f>
        <v>5403230.4202115564</v>
      </c>
      <c r="D10" s="8" t="s">
        <v>3</v>
      </c>
      <c r="E10" s="1"/>
    </row>
    <row r="11" spans="1:5" ht="15" customHeight="1" x14ac:dyDescent="0.25">
      <c r="A11" s="1"/>
      <c r="B11" s="26" t="s">
        <v>10</v>
      </c>
      <c r="C11" s="9">
        <f>-SUM(C9:C10)*'Fane 5. Individuelt eff. krav'!G9</f>
        <v>-894695.31568418269</v>
      </c>
      <c r="D11" s="8" t="s">
        <v>3</v>
      </c>
      <c r="E11" s="1"/>
    </row>
    <row r="12" spans="1:5" ht="15" customHeight="1" x14ac:dyDescent="0.25">
      <c r="A12" s="1"/>
      <c r="B12" s="26" t="s">
        <v>23</v>
      </c>
      <c r="C12" s="9">
        <f>-'Fane 4.1. Gen. krav - drift'!G59</f>
        <v>-386100.5919996805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70994098.129007354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3037174.4182445696</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ØR2022'!E32</f>
        <v>-2340122.7767628916</v>
      </c>
      <c r="D20" s="11" t="s">
        <v>3</v>
      </c>
      <c r="E20" s="1"/>
    </row>
    <row r="21" spans="1:5" x14ac:dyDescent="0.25">
      <c r="A21" s="1"/>
      <c r="B21" s="30" t="s">
        <v>135</v>
      </c>
      <c r="C21" s="28"/>
      <c r="D21" s="19"/>
      <c r="E21" s="1"/>
    </row>
    <row r="22" spans="1:5" x14ac:dyDescent="0.25">
      <c r="A22" s="1"/>
      <c r="B22" s="67" t="s">
        <v>136</v>
      </c>
      <c r="C22" s="10">
        <f>'Fane 8. Skattesagen'!G14</f>
        <v>0</v>
      </c>
      <c r="D22" s="11" t="s">
        <v>3</v>
      </c>
      <c r="E22" s="1"/>
    </row>
    <row r="23" spans="1:5" x14ac:dyDescent="0.25">
      <c r="A23" s="1"/>
      <c r="B23" s="33" t="s">
        <v>122</v>
      </c>
      <c r="C23" s="12">
        <f>SUM(C14,C16,C18,C20,C22)</f>
        <v>71691149.770489037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9MduYV0uFW9WI9lHIQbCWOKeBZQ8aB8FF0rTxCdrEoopRY3xb4baJhTTiS7NTcCI5DljcJdGO/oNnjHl8jgBg==" saltValue="wIoLpe0t9eoa0kRjZSPWO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254</v>
      </c>
      <c r="C5" s="110"/>
      <c r="D5" s="110"/>
      <c r="E5" s="1"/>
    </row>
    <row r="6" spans="1:5" x14ac:dyDescent="0.25">
      <c r="A6" s="1"/>
      <c r="B6" s="71"/>
      <c r="C6" s="71"/>
      <c r="D6" s="71"/>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70994098.129007354</v>
      </c>
      <c r="D9" s="8" t="s">
        <v>3</v>
      </c>
      <c r="E9" s="1"/>
    </row>
    <row r="10" spans="1:5" ht="15" customHeight="1" x14ac:dyDescent="0.25">
      <c r="A10" s="1"/>
      <c r="B10" s="26" t="s">
        <v>19</v>
      </c>
      <c r="C10" s="7">
        <f>SUM(C9:C9)*'Fane 15. Nøgletal'!C16</f>
        <v>5736323.1288237944</v>
      </c>
      <c r="D10" s="8" t="s">
        <v>3</v>
      </c>
      <c r="E10" s="1"/>
    </row>
    <row r="11" spans="1:5" ht="15" customHeight="1" x14ac:dyDescent="0.25">
      <c r="A11" s="1"/>
      <c r="B11" s="26" t="s">
        <v>10</v>
      </c>
      <c r="C11" s="9">
        <f>-SUM(C9:C10)*'Fane 5. Individuelt eff. krav'!G9</f>
        <v>-949850.55854947912</v>
      </c>
      <c r="D11" s="8" t="s">
        <v>3</v>
      </c>
      <c r="E11" s="1"/>
    </row>
    <row r="12" spans="1:5" ht="15" customHeight="1" x14ac:dyDescent="0.25">
      <c r="A12" s="1"/>
      <c r="B12" s="26" t="s">
        <v>23</v>
      </c>
      <c r="C12" s="9">
        <f>-'Fane 4.1. Gen. krav - drift'!G64</f>
        <v>-408951.56943658955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75371619.129845083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4401572.0600387305</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7" t="s">
        <v>136</v>
      </c>
      <c r="C22" s="10">
        <f>'Fane 8. Skattesagen'!G15</f>
        <v>0</v>
      </c>
      <c r="D22" s="11" t="s">
        <v>3</v>
      </c>
      <c r="E22" s="1"/>
    </row>
    <row r="23" spans="1:5" x14ac:dyDescent="0.25">
      <c r="A23" s="1"/>
      <c r="B23" s="33" t="s">
        <v>140</v>
      </c>
      <c r="C23" s="12">
        <f>SUM(C14,C16,C18,C20,C22)</f>
        <v>79773191.189883813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seccSmHRC1ebpqn76UypqCgsgRJOfsAjMlSKdSUPhw2si2qmaa9yim1myS35UYRAbs/Ublwg46Ad/Psmrqrww==" saltValue="vCrdXsepQGmyVO0TEfupY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254</v>
      </c>
      <c r="C5" s="110"/>
      <c r="D5" s="110"/>
      <c r="E5" s="1"/>
      <c r="F5" s="1"/>
    </row>
    <row r="6" spans="1:6" x14ac:dyDescent="0.25">
      <c r="A6" s="1"/>
      <c r="B6" s="71"/>
      <c r="C6" s="71"/>
      <c r="D6" s="71"/>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75371619.129845083</v>
      </c>
      <c r="D9" s="8" t="s">
        <v>3</v>
      </c>
      <c r="E9" s="1"/>
      <c r="F9" s="1"/>
    </row>
    <row r="10" spans="1:6" ht="15" customHeight="1" x14ac:dyDescent="0.25">
      <c r="A10" s="1"/>
      <c r="B10" s="26" t="s">
        <v>19</v>
      </c>
      <c r="C10" s="7">
        <f>SUM(C9:C9)*'Fane 15. Nøgletal'!C16</f>
        <v>6090026.8256914821</v>
      </c>
      <c r="D10" s="8" t="s">
        <v>3</v>
      </c>
      <c r="E10" s="1"/>
      <c r="F10" s="1"/>
    </row>
    <row r="11" spans="1:6" ht="15" customHeight="1" x14ac:dyDescent="0.25">
      <c r="A11" s="1"/>
      <c r="B11" s="26" t="s">
        <v>10</v>
      </c>
      <c r="C11" s="9">
        <f>-SUM(C9:C10)*'Fane 5. Individuelt eff. krav'!G9</f>
        <v>-1008418.6772704474</v>
      </c>
      <c r="D11" s="8" t="s">
        <v>3</v>
      </c>
      <c r="E11" s="1"/>
      <c r="F11" s="1"/>
    </row>
    <row r="12" spans="1:6" ht="15" customHeight="1" x14ac:dyDescent="0.25">
      <c r="A12" s="1"/>
      <c r="B12" s="26" t="s">
        <v>23</v>
      </c>
      <c r="C12" s="9">
        <f>-'Fane 4.1. Gen. krav - drift'!G69</f>
        <v>-433154.95912212459</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80020072.319143996</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4483683.6728898603</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7" t="s">
        <v>136</v>
      </c>
      <c r="C22" s="10">
        <f>'Fane 8. Skattesagen'!G16</f>
        <v>0</v>
      </c>
      <c r="D22" s="11" t="s">
        <v>3</v>
      </c>
      <c r="E22" s="1"/>
      <c r="F22" s="1"/>
    </row>
    <row r="23" spans="1:6" x14ac:dyDescent="0.25">
      <c r="A23" s="1"/>
      <c r="B23" s="33" t="s">
        <v>209</v>
      </c>
      <c r="C23" s="12">
        <f>SUM(C14,C16,C18,C20,C22)</f>
        <v>84503755.992033854</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9rUrfvdlc90QtB1QVxZihlZkPo6OYIfobD6MAz1uhVwjSlAGGXU709Rx06MiGOMKwhtXkEMAaqQupjicg2a/Gw==" saltValue="ycTyRI4rc3GXaFdJk7MIh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255</v>
      </c>
      <c r="C8" s="28"/>
      <c r="D8" s="19"/>
      <c r="E8" s="1"/>
    </row>
    <row r="9" spans="1:5" x14ac:dyDescent="0.25">
      <c r="A9" s="1"/>
      <c r="B9" s="29" t="s">
        <v>256</v>
      </c>
      <c r="C9" s="7">
        <v>57371592.422435805</v>
      </c>
      <c r="D9" s="8" t="s">
        <v>3</v>
      </c>
      <c r="E9" s="1"/>
    </row>
    <row r="10" spans="1:5" x14ac:dyDescent="0.25">
      <c r="A10" s="1"/>
      <c r="B10" s="87" t="s">
        <v>36</v>
      </c>
      <c r="C10" s="7">
        <v>2577699.5328000002</v>
      </c>
      <c r="D10" s="8" t="s">
        <v>3</v>
      </c>
      <c r="E10" s="1"/>
    </row>
    <row r="11" spans="1:5" x14ac:dyDescent="0.25">
      <c r="A11" s="1"/>
      <c r="B11" s="87" t="s">
        <v>37</v>
      </c>
      <c r="C11" s="9">
        <v>1186107.8904000001</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323317.79925995815</v>
      </c>
      <c r="D16" s="8" t="s">
        <v>3</v>
      </c>
      <c r="E16" s="1"/>
    </row>
    <row r="17" spans="1:5" x14ac:dyDescent="0.25">
      <c r="A17" s="1"/>
      <c r="B17" s="87" t="s">
        <v>10</v>
      </c>
      <c r="C17" s="41">
        <v>0</v>
      </c>
      <c r="D17" s="8" t="s">
        <v>3</v>
      </c>
      <c r="E17" s="1"/>
    </row>
    <row r="18" spans="1:5" x14ac:dyDescent="0.25">
      <c r="A18" s="1"/>
      <c r="B18" s="87" t="s">
        <v>23</v>
      </c>
      <c r="C18" s="41">
        <v>-336968.42821886647</v>
      </c>
      <c r="D18" s="8" t="s">
        <v>3</v>
      </c>
      <c r="E18" s="1"/>
    </row>
    <row r="19" spans="1:5" x14ac:dyDescent="0.25">
      <c r="A19" s="1"/>
      <c r="B19" s="87" t="s">
        <v>24</v>
      </c>
      <c r="C19" s="41">
        <v>-648934.78745413548</v>
      </c>
      <c r="D19" s="8" t="s">
        <v>3</v>
      </c>
      <c r="E19" s="47"/>
    </row>
    <row r="20" spans="1:5" x14ac:dyDescent="0.25">
      <c r="A20" s="1"/>
      <c r="B20" s="81" t="s">
        <v>21</v>
      </c>
      <c r="C20" s="10">
        <v>60472814.42922277</v>
      </c>
      <c r="D20" s="11" t="s">
        <v>3</v>
      </c>
      <c r="E20" s="1"/>
    </row>
    <row r="21" spans="1:5" x14ac:dyDescent="0.25">
      <c r="A21" s="1"/>
      <c r="B21" s="33" t="s">
        <v>12</v>
      </c>
      <c r="C21" s="28"/>
      <c r="D21" s="19"/>
      <c r="E21" s="1"/>
    </row>
    <row r="22" spans="1:5" x14ac:dyDescent="0.25">
      <c r="A22" s="1"/>
      <c r="B22" s="31" t="s">
        <v>12</v>
      </c>
      <c r="C22" s="10">
        <v>3171500.1129684802</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9">
        <v>2067770.6934480001</v>
      </c>
      <c r="D26" s="8" t="s">
        <v>3</v>
      </c>
      <c r="E26" s="1"/>
    </row>
    <row r="27" spans="1:5" x14ac:dyDescent="0.25">
      <c r="A27" s="1"/>
      <c r="B27" s="87" t="s">
        <v>70</v>
      </c>
      <c r="C27" s="9">
        <v>0</v>
      </c>
      <c r="D27" s="8" t="s">
        <v>3</v>
      </c>
      <c r="E27" s="1"/>
    </row>
    <row r="28" spans="1:5" x14ac:dyDescent="0.25">
      <c r="A28" s="1"/>
      <c r="B28" s="87" t="s">
        <v>161</v>
      </c>
      <c r="C28" s="9">
        <v>-41355.41386896</v>
      </c>
      <c r="D28" s="8" t="s">
        <v>3</v>
      </c>
      <c r="E28" s="1"/>
    </row>
    <row r="29" spans="1:5" x14ac:dyDescent="0.25">
      <c r="A29" s="1"/>
      <c r="B29" s="87" t="s">
        <v>162</v>
      </c>
      <c r="C29" s="9">
        <v>0</v>
      </c>
      <c r="D29" s="8" t="s">
        <v>3</v>
      </c>
      <c r="E29" s="1"/>
    </row>
    <row r="30" spans="1:5" x14ac:dyDescent="0.25">
      <c r="A30" s="1"/>
      <c r="B30" s="67" t="s">
        <v>75</v>
      </c>
      <c r="C30" s="10">
        <v>2026415.2795790401</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267</v>
      </c>
      <c r="C33" s="28"/>
      <c r="D33" s="19"/>
      <c r="E33" s="1"/>
    </row>
    <row r="34" spans="1:5" x14ac:dyDescent="0.25">
      <c r="A34" s="1"/>
      <c r="B34" s="31" t="s">
        <v>267</v>
      </c>
      <c r="C34" s="10">
        <v>-1310619</v>
      </c>
      <c r="D34" s="11" t="s">
        <v>3</v>
      </c>
      <c r="E34" s="1"/>
    </row>
    <row r="35" spans="1:5" x14ac:dyDescent="0.25">
      <c r="A35" s="1"/>
      <c r="B35" s="30" t="s">
        <v>135</v>
      </c>
      <c r="C35" s="28"/>
      <c r="D35" s="19"/>
      <c r="E35" s="1"/>
    </row>
    <row r="36" spans="1:5" x14ac:dyDescent="0.25">
      <c r="A36" s="1"/>
      <c r="B36" s="67" t="s">
        <v>136</v>
      </c>
      <c r="C36" s="10">
        <v>0</v>
      </c>
      <c r="D36" s="11" t="s">
        <v>3</v>
      </c>
      <c r="E36" s="1"/>
    </row>
    <row r="37" spans="1:5" x14ac:dyDescent="0.25">
      <c r="A37" s="1"/>
      <c r="B37" s="33" t="s">
        <v>268</v>
      </c>
      <c r="C37" s="49">
        <v>64360110.821770288</v>
      </c>
      <c r="D37" s="30" t="s">
        <v>3</v>
      </c>
      <c r="E37" s="1"/>
    </row>
    <row r="38" spans="1:5" ht="30" customHeight="1" x14ac:dyDescent="0.25">
      <c r="A38" s="1"/>
      <c r="B38" s="111" t="s">
        <v>269</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pu8OqMd+CypDLIHgtmnQ4POXfDmtCgNXC/dn1rnwWts1Y1gYsSzG0j84cnwg/I0P2xRGPiTfrVy1W+z3bn1fg==" saltValue="/G+5uVvBuMSEMu02V7rZU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3" t="s">
        <v>46</v>
      </c>
      <c r="C4" s="114"/>
      <c r="D4" s="114"/>
      <c r="E4" s="114"/>
      <c r="F4" s="114"/>
      <c r="G4" s="114"/>
      <c r="H4" s="115"/>
      <c r="I4" s="1"/>
    </row>
    <row r="5" spans="1:9" x14ac:dyDescent="0.25">
      <c r="A5" s="1"/>
      <c r="B5" s="116" t="s">
        <v>38</v>
      </c>
      <c r="C5" s="117"/>
      <c r="D5" s="117"/>
      <c r="E5" s="117"/>
      <c r="F5" s="118"/>
      <c r="G5" s="23">
        <v>12359661.649977509</v>
      </c>
      <c r="H5" s="14" t="s">
        <v>3</v>
      </c>
      <c r="I5" s="1"/>
    </row>
    <row r="6" spans="1:9" x14ac:dyDescent="0.25">
      <c r="A6" s="1"/>
      <c r="B6" s="125" t="s">
        <v>102</v>
      </c>
      <c r="C6" s="126"/>
      <c r="D6" s="126"/>
      <c r="E6" s="126"/>
      <c r="F6" s="127"/>
      <c r="G6" s="9">
        <v>0</v>
      </c>
      <c r="H6" s="14" t="s">
        <v>3</v>
      </c>
      <c r="I6" s="1"/>
    </row>
    <row r="7" spans="1:9" x14ac:dyDescent="0.25">
      <c r="A7" s="1"/>
      <c r="B7" s="116" t="s">
        <v>39</v>
      </c>
      <c r="C7" s="117"/>
      <c r="D7" s="117"/>
      <c r="E7" s="117"/>
      <c r="F7" s="118"/>
      <c r="G7" s="23">
        <f>SUM(G5:G6)*'Fane 15. Nøgletal'!C33</f>
        <v>247193.23299955018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3" t="s">
        <v>47</v>
      </c>
      <c r="C10" s="114"/>
      <c r="D10" s="114"/>
      <c r="E10" s="114"/>
      <c r="F10" s="114"/>
      <c r="G10" s="114"/>
      <c r="H10" s="115"/>
      <c r="I10" s="1"/>
    </row>
    <row r="11" spans="1:9" x14ac:dyDescent="0.25">
      <c r="A11" s="1"/>
      <c r="B11" s="116" t="s">
        <v>40</v>
      </c>
      <c r="C11" s="117"/>
      <c r="D11" s="117"/>
      <c r="E11" s="117"/>
      <c r="F11" s="118"/>
      <c r="G11" s="23">
        <f>(G5-G7)*(1+'Fane 15. Nøgletal'!C10)</f>
        <v>12324436.614275074</v>
      </c>
      <c r="H11" s="14" t="s">
        <v>3</v>
      </c>
      <c r="I11" s="1"/>
    </row>
    <row r="12" spans="1:9" ht="15" customHeight="1" x14ac:dyDescent="0.25">
      <c r="A12" s="1"/>
      <c r="B12" s="116" t="s">
        <v>103</v>
      </c>
      <c r="C12" s="117"/>
      <c r="D12" s="117"/>
      <c r="E12" s="117"/>
      <c r="F12" s="118"/>
      <c r="G12" s="9">
        <v>-51325.332272499349</v>
      </c>
      <c r="H12" s="14" t="s">
        <v>3</v>
      </c>
      <c r="I12" s="1"/>
    </row>
    <row r="13" spans="1:9" x14ac:dyDescent="0.25">
      <c r="A13" s="1"/>
      <c r="B13" s="125" t="s">
        <v>100</v>
      </c>
      <c r="C13" s="126"/>
      <c r="D13" s="126"/>
      <c r="E13" s="126"/>
      <c r="F13" s="127"/>
      <c r="G13" s="9">
        <v>0</v>
      </c>
      <c r="H13" s="14" t="s">
        <v>3</v>
      </c>
      <c r="I13" s="1"/>
    </row>
    <row r="14" spans="1:9" x14ac:dyDescent="0.25">
      <c r="A14" s="1"/>
      <c r="B14" s="122" t="s">
        <v>244</v>
      </c>
      <c r="C14" s="123"/>
      <c r="D14" s="123"/>
      <c r="E14" s="123"/>
      <c r="F14" s="124"/>
      <c r="G14" s="9">
        <v>0</v>
      </c>
      <c r="H14" s="14" t="s">
        <v>3</v>
      </c>
      <c r="I14" s="1"/>
    </row>
    <row r="15" spans="1:9" x14ac:dyDescent="0.25">
      <c r="A15" s="1"/>
      <c r="B15" s="116" t="s">
        <v>41</v>
      </c>
      <c r="C15" s="117"/>
      <c r="D15" s="117"/>
      <c r="E15" s="117"/>
      <c r="F15" s="118"/>
      <c r="G15" s="23">
        <f>SUM(G11:G14)*'Fane 15. Nøgletal'!C33</f>
        <v>245462.22564005147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3" t="s">
        <v>48</v>
      </c>
      <c r="C18" s="114"/>
      <c r="D18" s="114"/>
      <c r="E18" s="114"/>
      <c r="F18" s="114"/>
      <c r="G18" s="114"/>
      <c r="H18" s="115"/>
      <c r="I18" s="1"/>
    </row>
    <row r="19" spans="1:9" x14ac:dyDescent="0.25">
      <c r="A19" s="1"/>
      <c r="B19" s="116" t="s">
        <v>42</v>
      </c>
      <c r="C19" s="117"/>
      <c r="D19" s="117"/>
      <c r="E19" s="117"/>
      <c r="F19" s="118"/>
      <c r="G19" s="23">
        <f>(SUM(G11:G12,G14)-(G15))*(1+'Fane 15. Nøgletal'!C10)</f>
        <v>12238132.914848868</v>
      </c>
      <c r="H19" s="14" t="s">
        <v>3</v>
      </c>
      <c r="I19" s="1"/>
    </row>
    <row r="20" spans="1:9" x14ac:dyDescent="0.25">
      <c r="A20" s="1"/>
      <c r="B20" s="122" t="s">
        <v>245</v>
      </c>
      <c r="C20" s="123"/>
      <c r="D20" s="123"/>
      <c r="E20" s="123"/>
      <c r="F20" s="124"/>
      <c r="G20" s="9">
        <v>0</v>
      </c>
      <c r="H20" s="14" t="s">
        <v>3</v>
      </c>
      <c r="I20" s="1"/>
    </row>
    <row r="21" spans="1:9" x14ac:dyDescent="0.25">
      <c r="A21" s="1"/>
      <c r="B21" s="116" t="s">
        <v>43</v>
      </c>
      <c r="C21" s="117"/>
      <c r="D21" s="117"/>
      <c r="E21" s="117"/>
      <c r="F21" s="118"/>
      <c r="G21" s="23">
        <f>SUM(G19:G20)*'Fane 15. Nøgletal'!C33</f>
        <v>244762.65829697737</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3" t="s">
        <v>49</v>
      </c>
      <c r="C24" s="114"/>
      <c r="D24" s="114"/>
      <c r="E24" s="114"/>
      <c r="F24" s="114"/>
      <c r="G24" s="114"/>
      <c r="H24" s="115"/>
      <c r="I24" s="1"/>
    </row>
    <row r="25" spans="1:9" x14ac:dyDescent="0.25">
      <c r="A25" s="1"/>
      <c r="B25" s="116" t="s">
        <v>44</v>
      </c>
      <c r="C25" s="117"/>
      <c r="D25" s="117"/>
      <c r="E25" s="117"/>
      <c r="F25" s="118"/>
      <c r="G25" s="23">
        <f>(G19+G20-G21)*(1+'Fane 15. Nøgletal'!C12)</f>
        <v>12229639.650605962</v>
      </c>
      <c r="H25" s="14" t="s">
        <v>3</v>
      </c>
      <c r="I25" s="1"/>
    </row>
    <row r="26" spans="1:9" x14ac:dyDescent="0.25">
      <c r="A26" s="1"/>
      <c r="B26" s="122" t="s">
        <v>246</v>
      </c>
      <c r="C26" s="123"/>
      <c r="D26" s="123"/>
      <c r="E26" s="123"/>
      <c r="F26" s="124"/>
      <c r="G26" s="9">
        <v>1153045.9679151601</v>
      </c>
      <c r="H26" s="14" t="s">
        <v>3</v>
      </c>
      <c r="I26" s="1"/>
    </row>
    <row r="27" spans="1:9" x14ac:dyDescent="0.25">
      <c r="A27" s="1"/>
      <c r="B27" s="116" t="s">
        <v>45</v>
      </c>
      <c r="C27" s="117"/>
      <c r="D27" s="117"/>
      <c r="E27" s="117"/>
      <c r="F27" s="118"/>
      <c r="G27" s="23">
        <f>(G25+G26)*'Fane 15. Nøgletal'!C33</f>
        <v>267653.71237042244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3" t="s">
        <v>52</v>
      </c>
      <c r="C30" s="114"/>
      <c r="D30" s="114"/>
      <c r="E30" s="114"/>
      <c r="F30" s="114"/>
      <c r="G30" s="114"/>
      <c r="H30" s="115"/>
      <c r="I30" s="1"/>
    </row>
    <row r="31" spans="1:9" x14ac:dyDescent="0.25">
      <c r="A31" s="1"/>
      <c r="B31" s="116" t="s">
        <v>53</v>
      </c>
      <c r="C31" s="117"/>
      <c r="D31" s="117"/>
      <c r="E31" s="117"/>
      <c r="F31" s="118"/>
      <c r="G31" s="23">
        <f>(G25+G26-G27)*(1+'Fane 15. Nøgletal'!C12)</f>
        <v>13373398.034701871</v>
      </c>
      <c r="H31" s="14" t="s">
        <v>3</v>
      </c>
      <c r="I31" s="1"/>
    </row>
    <row r="32" spans="1:9" x14ac:dyDescent="0.25">
      <c r="A32" s="1"/>
      <c r="B32" s="116" t="s">
        <v>243</v>
      </c>
      <c r="C32" s="117"/>
      <c r="D32" s="117"/>
      <c r="E32" s="117"/>
      <c r="F32" s="118"/>
      <c r="G32" s="23">
        <v>331298.11290239997</v>
      </c>
      <c r="H32" s="14" t="s">
        <v>3</v>
      </c>
      <c r="I32" s="1"/>
    </row>
    <row r="33" spans="1:9" x14ac:dyDescent="0.25">
      <c r="A33" s="1"/>
      <c r="B33" s="116" t="s">
        <v>54</v>
      </c>
      <c r="C33" s="117"/>
      <c r="D33" s="117"/>
      <c r="E33" s="117"/>
      <c r="F33" s="118"/>
      <c r="G33" s="23">
        <f>(G31+G32)*'Fane 15. Nøgletal'!C33</f>
        <v>274093.92295208538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3" t="s">
        <v>126</v>
      </c>
      <c r="C36" s="114"/>
      <c r="D36" s="114"/>
      <c r="E36" s="114"/>
      <c r="F36" s="114"/>
      <c r="G36" s="114"/>
      <c r="H36" s="115"/>
      <c r="I36" s="1"/>
    </row>
    <row r="37" spans="1:9" x14ac:dyDescent="0.25">
      <c r="A37" s="1"/>
      <c r="B37" s="116" t="s">
        <v>68</v>
      </c>
      <c r="C37" s="117"/>
      <c r="D37" s="117"/>
      <c r="E37" s="117"/>
      <c r="F37" s="118"/>
      <c r="G37" s="23">
        <f>(G31+G32-G33)*(1+'Fane 15. Nøgletal'!C14)</f>
        <v>13474923.211993538</v>
      </c>
      <c r="H37" s="14" t="s">
        <v>3</v>
      </c>
      <c r="I37" s="1"/>
    </row>
    <row r="38" spans="1:9" x14ac:dyDescent="0.25">
      <c r="A38" s="1"/>
      <c r="B38" s="116" t="s">
        <v>242</v>
      </c>
      <c r="C38" s="117"/>
      <c r="D38" s="117"/>
      <c r="E38" s="117"/>
      <c r="F38" s="118"/>
      <c r="G38" s="23">
        <v>945810.58563311014</v>
      </c>
      <c r="H38" s="14" t="s">
        <v>3</v>
      </c>
      <c r="I38" s="1"/>
    </row>
    <row r="39" spans="1:9" x14ac:dyDescent="0.25">
      <c r="A39" s="1"/>
      <c r="B39" s="116" t="s">
        <v>128</v>
      </c>
      <c r="C39" s="117"/>
      <c r="D39" s="117"/>
      <c r="E39" s="117"/>
      <c r="F39" s="118"/>
      <c r="G39" s="23">
        <f>(G37+G38)*'Fane 15. Nøgletal'!C33</f>
        <v>288414.67595253297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3" t="s">
        <v>127</v>
      </c>
      <c r="C42" s="114"/>
      <c r="D42" s="114"/>
      <c r="E42" s="114"/>
      <c r="F42" s="114"/>
      <c r="G42" s="114"/>
      <c r="H42" s="115"/>
      <c r="I42" s="1"/>
    </row>
    <row r="43" spans="1:9" x14ac:dyDescent="0.25">
      <c r="A43" s="1"/>
      <c r="B43" s="116" t="s">
        <v>155</v>
      </c>
      <c r="C43" s="117"/>
      <c r="D43" s="117"/>
      <c r="E43" s="117"/>
      <c r="F43" s="118"/>
      <c r="G43" s="23">
        <f>(G37+G38-G39)*(1+'Fane 15. Nøgletal'!C14)</f>
        <v>14178955.774775641</v>
      </c>
      <c r="H43" s="14" t="s">
        <v>3</v>
      </c>
      <c r="I43" s="1"/>
    </row>
    <row r="44" spans="1:9" x14ac:dyDescent="0.25">
      <c r="A44" s="1"/>
      <c r="B44" s="119" t="s">
        <v>157</v>
      </c>
      <c r="C44" s="120"/>
      <c r="D44" s="120"/>
      <c r="E44" s="120"/>
      <c r="F44" s="121"/>
      <c r="G44" s="45">
        <v>2669465.6361676804</v>
      </c>
      <c r="H44" s="14" t="s">
        <v>3</v>
      </c>
      <c r="I44" s="1"/>
    </row>
    <row r="45" spans="1:9" x14ac:dyDescent="0.25">
      <c r="A45" s="1"/>
      <c r="B45" s="116" t="s">
        <v>129</v>
      </c>
      <c r="C45" s="117"/>
      <c r="D45" s="117"/>
      <c r="E45" s="117"/>
      <c r="F45" s="118"/>
      <c r="G45" s="23">
        <f>SUM(G43:G44)*'Fane 15. Nøgletal'!C33</f>
        <v>336968.42821886647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3" t="s">
        <v>192</v>
      </c>
      <c r="C51" s="114"/>
      <c r="D51" s="114"/>
      <c r="E51" s="114"/>
      <c r="F51" s="114"/>
      <c r="G51" s="114"/>
      <c r="H51" s="115"/>
      <c r="I51" s="1"/>
    </row>
    <row r="52" spans="1:9" x14ac:dyDescent="0.25">
      <c r="A52" s="1"/>
      <c r="B52" s="116" t="s">
        <v>154</v>
      </c>
      <c r="C52" s="117"/>
      <c r="D52" s="117"/>
      <c r="E52" s="117"/>
      <c r="F52" s="118"/>
      <c r="G52" s="23">
        <f>(G43+G44-G45)*(1+'Fane 15. Nøgletal'!C16)</f>
        <v>17845578.383728594</v>
      </c>
      <c r="H52" s="14" t="s">
        <v>3</v>
      </c>
      <c r="I52" s="1"/>
    </row>
    <row r="53" spans="1:9" x14ac:dyDescent="0.25">
      <c r="A53" s="1"/>
      <c r="B53" s="76" t="s">
        <v>194</v>
      </c>
      <c r="C53" s="77"/>
      <c r="D53" s="77"/>
      <c r="E53" s="77"/>
      <c r="F53" s="78"/>
      <c r="G53" s="23">
        <f>('Fane 2.1. Økonomisk ramme 2024'!C10+'Fane 2.1. Økonomisk ramme 2024'!C12+'Fane 2.1. Økonomisk ramme 2024'!C14)*(1+'Fane 15. Nøgletal'!C16)</f>
        <v>380744.52143615996</v>
      </c>
      <c r="H53" s="14" t="s">
        <v>3</v>
      </c>
      <c r="I53" s="1"/>
    </row>
    <row r="54" spans="1:9" x14ac:dyDescent="0.25">
      <c r="A54" s="1"/>
      <c r="B54" s="116" t="s">
        <v>210</v>
      </c>
      <c r="C54" s="117"/>
      <c r="D54" s="117"/>
      <c r="E54" s="117"/>
      <c r="F54" s="118"/>
      <c r="G54" s="23">
        <f>(G52)*'Fane 15. Nøgletal'!C33+(G53)*'Fane 15. Nøgletal'!C33</f>
        <v>364526.45810329507</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3" t="s">
        <v>193</v>
      </c>
      <c r="C57" s="114"/>
      <c r="D57" s="114"/>
      <c r="E57" s="114"/>
      <c r="F57" s="114"/>
      <c r="G57" s="114"/>
      <c r="H57" s="115"/>
      <c r="I57" s="1"/>
    </row>
    <row r="58" spans="1:9" x14ac:dyDescent="0.25">
      <c r="A58" s="1"/>
      <c r="B58" s="76" t="s">
        <v>212</v>
      </c>
      <c r="C58" s="77"/>
      <c r="D58" s="77"/>
      <c r="E58" s="77"/>
      <c r="F58" s="78"/>
      <c r="G58" s="23">
        <f>(G52+G53-G54)*(1+'Fane 15. Nøgletal'!C16)</f>
        <v>19305029.599984024</v>
      </c>
      <c r="H58" s="14" t="s">
        <v>3</v>
      </c>
      <c r="I58" s="1"/>
    </row>
    <row r="59" spans="1:9" x14ac:dyDescent="0.25">
      <c r="A59" s="1"/>
      <c r="B59" s="76" t="s">
        <v>211</v>
      </c>
      <c r="C59" s="77"/>
      <c r="D59" s="77"/>
      <c r="E59" s="77"/>
      <c r="F59" s="78"/>
      <c r="G59" s="23">
        <f>(G58)*'Fane 15. Nøgletal'!C33</f>
        <v>386100.5919996805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3" t="s">
        <v>257</v>
      </c>
      <c r="C62" s="114"/>
      <c r="D62" s="114"/>
      <c r="E62" s="114"/>
      <c r="F62" s="114"/>
      <c r="G62" s="114"/>
      <c r="H62" s="115"/>
      <c r="I62" s="1"/>
    </row>
    <row r="63" spans="1:9" x14ac:dyDescent="0.25">
      <c r="A63" s="1"/>
      <c r="B63" s="76" t="s">
        <v>213</v>
      </c>
      <c r="C63" s="77"/>
      <c r="D63" s="77"/>
      <c r="E63" s="77"/>
      <c r="F63" s="78"/>
      <c r="G63" s="23">
        <f>(G58-G59)*(1+'Fane 15. Nøgletal'!C16)</f>
        <v>20447578.471829478</v>
      </c>
      <c r="H63" s="14" t="s">
        <v>3</v>
      </c>
      <c r="I63" s="1"/>
    </row>
    <row r="64" spans="1:9" x14ac:dyDescent="0.25">
      <c r="A64" s="1"/>
      <c r="B64" s="76" t="s">
        <v>214</v>
      </c>
      <c r="C64" s="77"/>
      <c r="D64" s="77"/>
      <c r="E64" s="77"/>
      <c r="F64" s="78"/>
      <c r="G64" s="23">
        <f>(G63)*'Fane 15. Nøgletal'!C33</f>
        <v>408951.56943658955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3" t="s">
        <v>258</v>
      </c>
      <c r="C67" s="114"/>
      <c r="D67" s="114"/>
      <c r="E67" s="114"/>
      <c r="F67" s="114"/>
      <c r="G67" s="114"/>
      <c r="H67" s="115"/>
      <c r="I67" s="1"/>
    </row>
    <row r="68" spans="1:9" x14ac:dyDescent="0.25">
      <c r="A68" s="1"/>
      <c r="B68" s="76" t="s">
        <v>213</v>
      </c>
      <c r="C68" s="77"/>
      <c r="D68" s="77"/>
      <c r="E68" s="77"/>
      <c r="F68" s="78"/>
      <c r="G68" s="23">
        <f>(G63-G64)*(1+'Fane 15. Nøgletal'!C16)</f>
        <v>21657747.956106231</v>
      </c>
      <c r="H68" s="14" t="s">
        <v>3</v>
      </c>
      <c r="I68" s="1"/>
    </row>
    <row r="69" spans="1:9" x14ac:dyDescent="0.25">
      <c r="A69" s="1"/>
      <c r="B69" s="76" t="s">
        <v>214</v>
      </c>
      <c r="C69" s="77"/>
      <c r="D69" s="77"/>
      <c r="E69" s="77"/>
      <c r="F69" s="78"/>
      <c r="G69" s="23">
        <f>(G68)*'Fane 15. Nøgletal'!C33</f>
        <v>433154.95912212459</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6YwoxI0vT3m4XyWHFupjCQ/16Zn9B9TA6lkXcWyip1Gj92pPMuRX0Aui4/bLdGK0S2oXcNH9v0HeU/w6wBDz1g==" saltValue="w5u8ARmmUP7dYkT7wrX/Lg=="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3" t="s">
        <v>50</v>
      </c>
      <c r="C4" s="114"/>
      <c r="D4" s="114"/>
      <c r="E4" s="114"/>
      <c r="F4" s="114"/>
      <c r="G4" s="114"/>
      <c r="H4" s="115"/>
      <c r="I4" s="1"/>
    </row>
    <row r="5" spans="1:9" x14ac:dyDescent="0.25">
      <c r="A5" s="1"/>
      <c r="B5" s="116" t="s">
        <v>55</v>
      </c>
      <c r="C5" s="117"/>
      <c r="D5" s="117"/>
      <c r="E5" s="117"/>
      <c r="F5" s="118"/>
      <c r="G5" s="23">
        <v>37222804.169744208</v>
      </c>
      <c r="H5" s="14" t="s">
        <v>3</v>
      </c>
      <c r="I5" s="1"/>
    </row>
    <row r="6" spans="1:9" x14ac:dyDescent="0.25">
      <c r="A6" s="1"/>
      <c r="B6" s="116" t="s">
        <v>51</v>
      </c>
      <c r="C6" s="117"/>
      <c r="D6" s="117"/>
      <c r="E6" s="117"/>
      <c r="F6" s="118"/>
      <c r="G6" s="23">
        <f>G5*'Fane 15. Nøgletal'!C21</f>
        <v>338727.51794467232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3" t="s">
        <v>56</v>
      </c>
      <c r="C9" s="114"/>
      <c r="D9" s="114"/>
      <c r="E9" s="114"/>
      <c r="F9" s="114"/>
      <c r="G9" s="114"/>
      <c r="H9" s="115"/>
      <c r="I9" s="1"/>
    </row>
    <row r="10" spans="1:9" x14ac:dyDescent="0.25">
      <c r="A10" s="1"/>
      <c r="B10" s="116" t="s">
        <v>57</v>
      </c>
      <c r="C10" s="117"/>
      <c r="D10" s="117"/>
      <c r="E10" s="117"/>
      <c r="F10" s="118"/>
      <c r="G10" s="23">
        <f>(G5-G6)*(1+'Fane 15. Nøgletal'!C10)</f>
        <v>37529547.993206032</v>
      </c>
      <c r="H10" s="14" t="s">
        <v>3</v>
      </c>
      <c r="I10" s="1"/>
    </row>
    <row r="11" spans="1:9" x14ac:dyDescent="0.25">
      <c r="A11" s="1"/>
      <c r="B11" s="116" t="s">
        <v>104</v>
      </c>
      <c r="C11" s="117"/>
      <c r="D11" s="117"/>
      <c r="E11" s="117"/>
      <c r="F11" s="118"/>
      <c r="G11" s="69">
        <v>-266250.65748365002</v>
      </c>
      <c r="H11" s="14" t="s">
        <v>3</v>
      </c>
      <c r="I11" s="1"/>
    </row>
    <row r="12" spans="1:9" x14ac:dyDescent="0.25">
      <c r="A12" s="1"/>
      <c r="B12" s="122" t="s">
        <v>247</v>
      </c>
      <c r="C12" s="123"/>
      <c r="D12" s="123"/>
      <c r="E12" s="123"/>
      <c r="F12" s="124"/>
      <c r="G12" s="9">
        <v>0</v>
      </c>
      <c r="H12" s="14" t="s">
        <v>3</v>
      </c>
      <c r="I12" s="1"/>
    </row>
    <row r="13" spans="1:9" x14ac:dyDescent="0.25">
      <c r="A13" s="1"/>
      <c r="B13" s="116" t="s">
        <v>58</v>
      </c>
      <c r="C13" s="117"/>
      <c r="D13" s="117"/>
      <c r="E13" s="117"/>
      <c r="F13" s="118"/>
      <c r="G13" s="23">
        <f>SUM(G10:G12)*'Fane 15. Nøgletal'!C22</f>
        <v>659560.36284228612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3" t="s">
        <v>59</v>
      </c>
      <c r="C16" s="114"/>
      <c r="D16" s="114"/>
      <c r="E16" s="114"/>
      <c r="F16" s="114"/>
      <c r="G16" s="114"/>
      <c r="H16" s="115"/>
      <c r="I16" s="1"/>
    </row>
    <row r="17" spans="1:9" x14ac:dyDescent="0.25">
      <c r="A17" s="1"/>
      <c r="B17" s="116" t="s">
        <v>60</v>
      </c>
      <c r="C17" s="117"/>
      <c r="D17" s="117"/>
      <c r="E17" s="117"/>
      <c r="F17" s="118"/>
      <c r="G17" s="23">
        <f>(SUM(G10:G12)-G13)*(1+'Fane 15. Nøgletal'!C10)</f>
        <v>37244302.369905502</v>
      </c>
      <c r="H17" s="14" t="s">
        <v>3</v>
      </c>
      <c r="I17" s="1"/>
    </row>
    <row r="18" spans="1:9" x14ac:dyDescent="0.25">
      <c r="A18" s="1"/>
      <c r="B18" s="122" t="s">
        <v>248</v>
      </c>
      <c r="C18" s="123"/>
      <c r="D18" s="123"/>
      <c r="E18" s="123"/>
      <c r="F18" s="124"/>
      <c r="G18" s="23">
        <v>1192000.8235030996</v>
      </c>
      <c r="H18" s="14" t="s">
        <v>3</v>
      </c>
      <c r="I18" s="1"/>
    </row>
    <row r="19" spans="1:9" x14ac:dyDescent="0.25">
      <c r="A19" s="1"/>
      <c r="B19" s="116" t="s">
        <v>61</v>
      </c>
      <c r="C19" s="117"/>
      <c r="D19" s="117"/>
      <c r="E19" s="117"/>
      <c r="F19" s="118"/>
      <c r="G19" s="23">
        <f>G17*'Fane 15. Nøgletal'!C22+G18*'Fane 15. Nøgletal'!C23</f>
        <v>669594.55911180435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3" t="s">
        <v>62</v>
      </c>
      <c r="C22" s="114"/>
      <c r="D22" s="114"/>
      <c r="E22" s="114"/>
      <c r="F22" s="114"/>
      <c r="G22" s="114"/>
      <c r="H22" s="115"/>
      <c r="I22" s="1"/>
    </row>
    <row r="23" spans="1:9" x14ac:dyDescent="0.25">
      <c r="A23" s="1"/>
      <c r="B23" s="116" t="s">
        <v>63</v>
      </c>
      <c r="C23" s="117"/>
      <c r="D23" s="117"/>
      <c r="E23" s="117"/>
      <c r="F23" s="118"/>
      <c r="G23" s="23">
        <f>(G17+G18-G19)*(1+'Fane 15. Nøgletal'!C12)</f>
        <v>38510712.794392444</v>
      </c>
      <c r="H23" s="14" t="s">
        <v>3</v>
      </c>
      <c r="I23" s="1"/>
    </row>
    <row r="24" spans="1:9" x14ac:dyDescent="0.25">
      <c r="A24" s="1"/>
      <c r="B24" s="122" t="s">
        <v>249</v>
      </c>
      <c r="C24" s="123"/>
      <c r="D24" s="123"/>
      <c r="E24" s="123"/>
      <c r="F24" s="124"/>
      <c r="G24" s="23">
        <v>2613646.6958190603</v>
      </c>
      <c r="H24" s="14" t="s">
        <v>3</v>
      </c>
      <c r="I24" s="1"/>
    </row>
    <row r="25" spans="1:9" x14ac:dyDescent="0.25">
      <c r="A25" s="1"/>
      <c r="B25" s="116" t="s">
        <v>64</v>
      </c>
      <c r="C25" s="117"/>
      <c r="D25" s="117"/>
      <c r="E25" s="117"/>
      <c r="F25" s="118"/>
      <c r="G25" s="23">
        <f>(G23+G24)*'Fane 15. Nøgletal'!C24</f>
        <v>1167931.8095220067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3" t="s">
        <v>65</v>
      </c>
      <c r="C28" s="114"/>
      <c r="D28" s="114"/>
      <c r="E28" s="114"/>
      <c r="F28" s="114"/>
      <c r="G28" s="114"/>
      <c r="H28" s="115"/>
      <c r="I28" s="1"/>
    </row>
    <row r="29" spans="1:9" x14ac:dyDescent="0.25">
      <c r="A29" s="1"/>
      <c r="B29" s="116" t="s">
        <v>66</v>
      </c>
      <c r="C29" s="117"/>
      <c r="D29" s="117"/>
      <c r="E29" s="117"/>
      <c r="F29" s="118"/>
      <c r="G29" s="23">
        <f>(G23+G24-G25)*(1+'Fane 15. Nøgletal'!C12)</f>
        <v>40743569.305999085</v>
      </c>
      <c r="H29" s="14" t="s">
        <v>3</v>
      </c>
      <c r="I29" s="1"/>
    </row>
    <row r="30" spans="1:9" x14ac:dyDescent="0.25">
      <c r="A30" s="1"/>
      <c r="B30" s="116" t="s">
        <v>250</v>
      </c>
      <c r="C30" s="117"/>
      <c r="D30" s="117"/>
      <c r="E30" s="117"/>
      <c r="F30" s="118"/>
      <c r="G30" s="23">
        <v>2221791.53427504</v>
      </c>
      <c r="H30" s="14" t="s">
        <v>3</v>
      </c>
      <c r="I30" s="1"/>
    </row>
    <row r="31" spans="1:9" x14ac:dyDescent="0.25">
      <c r="A31" s="1"/>
      <c r="B31" s="116" t="s">
        <v>67</v>
      </c>
      <c r="C31" s="117"/>
      <c r="D31" s="117"/>
      <c r="E31" s="117"/>
      <c r="F31" s="118"/>
      <c r="G31" s="23">
        <f>G29*'Fane 15. Nøgletal'!C24+G30*'Fane 15. Nøgletal'!C25</f>
        <v>1218216.6354829376</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3" t="s">
        <v>130</v>
      </c>
      <c r="C34" s="114"/>
      <c r="D34" s="114"/>
      <c r="E34" s="114"/>
      <c r="F34" s="114"/>
      <c r="G34" s="114"/>
      <c r="H34" s="115"/>
      <c r="I34" s="1"/>
    </row>
    <row r="35" spans="1:9" x14ac:dyDescent="0.25">
      <c r="A35" s="1"/>
      <c r="B35" s="116" t="s">
        <v>215</v>
      </c>
      <c r="C35" s="117"/>
      <c r="D35" s="117"/>
      <c r="E35" s="117"/>
      <c r="F35" s="118"/>
      <c r="G35" s="23">
        <f>(G29+G30-G31)*(1+'Fane 15. Nøgletal'!C14)</f>
        <v>41884909.780667</v>
      </c>
      <c r="H35" s="14" t="s">
        <v>3</v>
      </c>
      <c r="I35" s="1"/>
    </row>
    <row r="36" spans="1:9" x14ac:dyDescent="0.25">
      <c r="A36" s="1"/>
      <c r="B36" s="116" t="s">
        <v>251</v>
      </c>
      <c r="C36" s="117"/>
      <c r="D36" s="117"/>
      <c r="E36" s="117"/>
      <c r="F36" s="118"/>
      <c r="G36" s="23">
        <v>2474333.1163238706</v>
      </c>
      <c r="H36" s="14" t="s">
        <v>3</v>
      </c>
      <c r="I36" s="1"/>
    </row>
    <row r="37" spans="1:9" x14ac:dyDescent="0.25">
      <c r="A37" s="1"/>
      <c r="B37" s="116" t="s">
        <v>131</v>
      </c>
      <c r="C37" s="117"/>
      <c r="D37" s="117"/>
      <c r="E37" s="117"/>
      <c r="F37" s="118"/>
      <c r="G37" s="23">
        <f>(G35+G36)*'Fane 15. Nøgletal'!C26</f>
        <v>656516.79487546498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3" t="s">
        <v>151</v>
      </c>
      <c r="C40" s="114"/>
      <c r="D40" s="114"/>
      <c r="E40" s="114"/>
      <c r="F40" s="114"/>
      <c r="G40" s="114"/>
      <c r="H40" s="115"/>
      <c r="I40" s="1"/>
    </row>
    <row r="41" spans="1:9" x14ac:dyDescent="0.25">
      <c r="A41" s="1"/>
      <c r="B41" s="116" t="s">
        <v>216</v>
      </c>
      <c r="C41" s="117"/>
      <c r="D41" s="117"/>
      <c r="E41" s="117"/>
      <c r="F41" s="118"/>
      <c r="G41" s="23">
        <f>(G35+G36-G37)*(1+'Fane 15. Nøgletal'!C14)</f>
        <v>43846945.098252393</v>
      </c>
      <c r="H41" s="14" t="s">
        <v>3</v>
      </c>
      <c r="I41" s="1"/>
    </row>
    <row r="42" spans="1:9" x14ac:dyDescent="0.25">
      <c r="A42" s="1"/>
      <c r="B42" s="40" t="s">
        <v>156</v>
      </c>
      <c r="C42" s="77"/>
      <c r="D42" s="77"/>
      <c r="E42" s="77"/>
      <c r="F42" s="78"/>
      <c r="G42" s="23">
        <v>1228333.3312982402</v>
      </c>
      <c r="H42" s="14" t="s">
        <v>3</v>
      </c>
      <c r="I42" s="1"/>
    </row>
    <row r="43" spans="1:9" x14ac:dyDescent="0.25">
      <c r="A43" s="1"/>
      <c r="B43" s="116" t="s">
        <v>132</v>
      </c>
      <c r="C43" s="117"/>
      <c r="D43" s="117"/>
      <c r="E43" s="117"/>
      <c r="F43" s="118"/>
      <c r="G43" s="23">
        <f>(G41)*'Fane 15. Nøgletal'!C26+G42*'Fane 15. Nøgletal'!C27</f>
        <v>648934.78745413548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3" t="s">
        <v>260</v>
      </c>
      <c r="C52" s="114"/>
      <c r="D52" s="114"/>
      <c r="E52" s="114"/>
      <c r="F52" s="114"/>
      <c r="G52" s="114"/>
      <c r="H52" s="115"/>
      <c r="I52" s="1"/>
    </row>
    <row r="53" spans="1:9" x14ac:dyDescent="0.25">
      <c r="A53" s="1"/>
      <c r="B53" s="116" t="s">
        <v>217</v>
      </c>
      <c r="C53" s="117"/>
      <c r="D53" s="117"/>
      <c r="E53" s="117"/>
      <c r="F53" s="118"/>
      <c r="G53" s="9">
        <f>(G41+G42-G43)*(1+'Fane 15. Nøgletal'!C16)</f>
        <v>48015992.20837789</v>
      </c>
      <c r="H53" s="14" t="s">
        <v>3</v>
      </c>
      <c r="I53" s="1"/>
    </row>
    <row r="54" spans="1:9" x14ac:dyDescent="0.25">
      <c r="A54" s="1"/>
      <c r="B54" s="76" t="s">
        <v>195</v>
      </c>
      <c r="C54" s="77"/>
      <c r="D54" s="77"/>
      <c r="E54" s="77"/>
      <c r="F54" s="78"/>
      <c r="G54" s="9">
        <f>('Fane 2.1. Økonomisk ramme 2024'!C11+'Fane 2.1. Økonomisk ramme 2024'!C13+'Fane 2.1. Økonomisk ramme 2024'!C15)*(1+'Fane 15. Nøgletal'!C16)</f>
        <v>2339181.1059859199</v>
      </c>
      <c r="H54" s="14" t="s">
        <v>3</v>
      </c>
      <c r="I54" s="1"/>
    </row>
    <row r="55" spans="1:9" x14ac:dyDescent="0.25">
      <c r="A55" s="1"/>
      <c r="B55" s="116" t="s">
        <v>218</v>
      </c>
      <c r="C55" s="117"/>
      <c r="D55" s="117"/>
      <c r="E55" s="117"/>
      <c r="F55" s="118"/>
      <c r="G55" s="9">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3" t="s">
        <v>259</v>
      </c>
      <c r="C58" s="114"/>
      <c r="D58" s="114"/>
      <c r="E58" s="114"/>
      <c r="F58" s="114"/>
      <c r="G58" s="114"/>
      <c r="H58" s="115"/>
      <c r="I58" s="1"/>
    </row>
    <row r="59" spans="1:9" x14ac:dyDescent="0.25">
      <c r="A59" s="1"/>
      <c r="B59" s="116" t="s">
        <v>219</v>
      </c>
      <c r="C59" s="117"/>
      <c r="D59" s="117"/>
      <c r="E59" s="117"/>
      <c r="F59" s="118"/>
      <c r="G59" s="9">
        <f>(G53+G54-G55)*(1+'Fane 15. Nøgletal'!C16)</f>
        <v>54423871.318164401</v>
      </c>
      <c r="H59" s="14" t="s">
        <v>3</v>
      </c>
      <c r="I59" s="1"/>
    </row>
    <row r="60" spans="1:9" x14ac:dyDescent="0.25">
      <c r="A60" s="1"/>
      <c r="B60" s="116" t="s">
        <v>220</v>
      </c>
      <c r="C60" s="117"/>
      <c r="D60" s="117"/>
      <c r="E60" s="117"/>
      <c r="F60" s="118"/>
      <c r="G60" s="9">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3" t="s">
        <v>141</v>
      </c>
      <c r="C63" s="114"/>
      <c r="D63" s="114"/>
      <c r="E63" s="114"/>
      <c r="F63" s="114"/>
      <c r="G63" s="114"/>
      <c r="H63" s="115"/>
      <c r="I63" s="1"/>
    </row>
    <row r="64" spans="1:9" x14ac:dyDescent="0.25">
      <c r="A64" s="1"/>
      <c r="B64" s="116" t="s">
        <v>221</v>
      </c>
      <c r="C64" s="117"/>
      <c r="D64" s="117"/>
      <c r="E64" s="117"/>
      <c r="F64" s="118"/>
      <c r="G64" s="9">
        <f>(G59-G60)*(1+'Fane 15. Nøgletal'!C16)</f>
        <v>58821320.120672084</v>
      </c>
      <c r="H64" s="14" t="s">
        <v>3</v>
      </c>
      <c r="I64" s="1"/>
    </row>
    <row r="65" spans="1:9" x14ac:dyDescent="0.25">
      <c r="A65" s="1"/>
      <c r="B65" s="116" t="s">
        <v>222</v>
      </c>
      <c r="C65" s="117"/>
      <c r="D65" s="117"/>
      <c r="E65" s="117"/>
      <c r="F65" s="118"/>
      <c r="G65" s="9">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3" t="s">
        <v>223</v>
      </c>
      <c r="C68" s="114"/>
      <c r="D68" s="114"/>
      <c r="E68" s="114"/>
      <c r="F68" s="114"/>
      <c r="G68" s="114"/>
      <c r="H68" s="115"/>
      <c r="I68" s="1"/>
    </row>
    <row r="69" spans="1:9" x14ac:dyDescent="0.25">
      <c r="A69" s="1"/>
      <c r="B69" s="116" t="s">
        <v>221</v>
      </c>
      <c r="C69" s="117"/>
      <c r="D69" s="117"/>
      <c r="E69" s="117"/>
      <c r="F69" s="118"/>
      <c r="G69" s="9">
        <f>(G64-G65)*(1+'Fane 15. Nøgletal'!C16)</f>
        <v>63574082.786422387</v>
      </c>
      <c r="H69" s="14" t="s">
        <v>3</v>
      </c>
      <c r="I69" s="1"/>
    </row>
    <row r="70" spans="1:9" x14ac:dyDescent="0.25">
      <c r="A70" s="1"/>
      <c r="B70" s="116" t="s">
        <v>222</v>
      </c>
      <c r="C70" s="117"/>
      <c r="D70" s="117"/>
      <c r="E70" s="117"/>
      <c r="F70" s="118"/>
      <c r="G70" s="9">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6IIb0ZtWid1ceiHpYHU8/BFVkkpu80wkpUkVArw1PZROC82aHx+we9NaX6ytxG0qR5Tr4t7fz1G31zw8i66tHg==" saltValue="GfFCpyDRHK1rtA4QvK6ySw=="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3" t="s">
        <v>10</v>
      </c>
      <c r="C8" s="114"/>
      <c r="D8" s="114"/>
      <c r="E8" s="114"/>
      <c r="F8" s="114"/>
      <c r="G8" s="115"/>
      <c r="H8" s="1"/>
    </row>
    <row r="9" spans="1:8" x14ac:dyDescent="0.25">
      <c r="A9" s="1"/>
      <c r="B9" s="116" t="s">
        <v>252</v>
      </c>
      <c r="C9" s="117"/>
      <c r="D9" s="117"/>
      <c r="E9" s="117"/>
      <c r="F9" s="118"/>
      <c r="G9" s="22">
        <v>1.2379060911939627E-2</v>
      </c>
      <c r="H9" s="1"/>
    </row>
    <row r="10" spans="1:8" x14ac:dyDescent="0.25">
      <c r="A10" s="1"/>
      <c r="B10" s="33"/>
      <c r="C10" s="28"/>
      <c r="D10" s="28"/>
      <c r="E10" s="28"/>
      <c r="F10" s="28"/>
      <c r="G10" s="19"/>
      <c r="H10" s="1"/>
    </row>
    <row r="11" spans="1:8" ht="33" customHeight="1" x14ac:dyDescent="0.25">
      <c r="A11" s="1"/>
      <c r="B11" s="130" t="s">
        <v>265</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QndDwDPIqkudMIETGM0myNNWRJZ5CkzNajfgLEOFUnDCP/waWppj+H8q339WY1lOUzU4FzmEuBGeLXsjhylBKw==" saltValue="xPo/5eGlRWskrtRTVA+h+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2023-11-23T20:03:56Z</dcterms:modified>
</cp:coreProperties>
</file>